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I\PRORAČUN  ZA GRAĐANE\2. - Općina Šestanovac\"/>
    </mc:Choice>
  </mc:AlternateContent>
  <xr:revisionPtr revIDLastSave="0" documentId="13_ncr:1_{E41B4689-64CE-48AB-AE3E-67DF5E20E694}" xr6:coauthVersionLast="47" xr6:coauthVersionMax="47" xr10:uidLastSave="{00000000-0000-0000-0000-000000000000}"/>
  <bookViews>
    <workbookView xWindow="828" yWindow="0" windowWidth="12780" windowHeight="12240" tabRatio="828" xr2:uid="{6F31E4F4-E7D7-4ACB-8249-5215484D96C8}"/>
  </bookViews>
  <sheets>
    <sheet name="Sažetak" sheetId="9" r:id="rId1"/>
    <sheet name="Posebni dio" sheetId="2" r:id="rId2"/>
    <sheet name="Ekonomska klasifikacija i izvor" sheetId="1" r:id="rId3"/>
    <sheet name="Račun financiranja" sheetId="8" r:id="rId4"/>
    <sheet name="Funkcijska klasifikacija" sheetId="3" r:id="rId5"/>
    <sheet name="Programska klasifikacija" sheetId="4" r:id="rId6"/>
  </sheets>
  <definedNames>
    <definedName name="_xlnm._FilterDatabase" localSheetId="1" hidden="1">'Posebni dio'!$A$4:$P$226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9" l="1"/>
  <c r="D17" i="9" s="1"/>
  <c r="D15" i="9"/>
  <c r="C16" i="9"/>
  <c r="C15" i="9"/>
  <c r="C17" i="9" s="1"/>
  <c r="F11" i="9"/>
  <c r="F10" i="9"/>
  <c r="F8" i="9"/>
  <c r="F7" i="9"/>
  <c r="E8" i="9"/>
  <c r="E7" i="9"/>
  <c r="E11" i="9"/>
  <c r="E10" i="9"/>
  <c r="D11" i="9"/>
  <c r="C11" i="9"/>
  <c r="D10" i="9"/>
  <c r="C10" i="9"/>
  <c r="D8" i="9"/>
  <c r="D7" i="9"/>
  <c r="C8" i="9"/>
  <c r="C7" i="9"/>
  <c r="E8" i="1"/>
  <c r="F17" i="9"/>
  <c r="E17" i="9"/>
  <c r="D6" i="9"/>
  <c r="J7" i="8"/>
  <c r="J61" i="1"/>
  <c r="H61" i="1"/>
  <c r="F61" i="1"/>
  <c r="E61" i="1"/>
  <c r="K60" i="1"/>
  <c r="I60" i="1"/>
  <c r="G60" i="1"/>
  <c r="I59" i="1"/>
  <c r="G59" i="1"/>
  <c r="K56" i="1"/>
  <c r="K55" i="1"/>
  <c r="I56" i="1"/>
  <c r="I55" i="1"/>
  <c r="G56" i="1"/>
  <c r="G55" i="1"/>
  <c r="J57" i="1"/>
  <c r="H57" i="1"/>
  <c r="F57" i="1"/>
  <c r="E57" i="1"/>
  <c r="J53" i="1"/>
  <c r="H53" i="1"/>
  <c r="F53" i="1"/>
  <c r="E53" i="1"/>
  <c r="K52" i="1"/>
  <c r="K51" i="1"/>
  <c r="K50" i="1"/>
  <c r="I52" i="1"/>
  <c r="I51" i="1"/>
  <c r="I50" i="1"/>
  <c r="G52" i="1"/>
  <c r="G51" i="1"/>
  <c r="G50" i="1"/>
  <c r="J48" i="1"/>
  <c r="H48" i="1"/>
  <c r="F48" i="1"/>
  <c r="E48" i="1"/>
  <c r="K47" i="1"/>
  <c r="K46" i="1"/>
  <c r="I47" i="1"/>
  <c r="I46" i="1"/>
  <c r="G47" i="1"/>
  <c r="G46" i="1"/>
  <c r="J44" i="1"/>
  <c r="H44" i="1"/>
  <c r="H64" i="1" s="1"/>
  <c r="F44" i="1"/>
  <c r="E44" i="1"/>
  <c r="K43" i="1"/>
  <c r="K42" i="1"/>
  <c r="K41" i="1"/>
  <c r="K40" i="1"/>
  <c r="K39" i="1"/>
  <c r="K38" i="1"/>
  <c r="K37" i="1"/>
  <c r="K36" i="1"/>
  <c r="K35" i="1"/>
  <c r="I43" i="1"/>
  <c r="I42" i="1"/>
  <c r="I41" i="1"/>
  <c r="I40" i="1"/>
  <c r="I39" i="1"/>
  <c r="I38" i="1"/>
  <c r="I37" i="1"/>
  <c r="I36" i="1"/>
  <c r="I35" i="1"/>
  <c r="G43" i="1"/>
  <c r="G42" i="1"/>
  <c r="G41" i="1"/>
  <c r="G40" i="1"/>
  <c r="G39" i="1"/>
  <c r="G38" i="1"/>
  <c r="G37" i="1"/>
  <c r="G36" i="1"/>
  <c r="G35" i="1"/>
  <c r="O189" i="2"/>
  <c r="M189" i="2"/>
  <c r="K189" i="2"/>
  <c r="O191" i="2"/>
  <c r="M191" i="2"/>
  <c r="K191" i="2"/>
  <c r="J191" i="2"/>
  <c r="J189" i="2"/>
  <c r="O122" i="2"/>
  <c r="M122" i="2"/>
  <c r="K122" i="2"/>
  <c r="O124" i="2"/>
  <c r="M124" i="2"/>
  <c r="K124" i="2"/>
  <c r="J124" i="2"/>
  <c r="J122" i="2" s="1"/>
  <c r="P123" i="2"/>
  <c r="N123" i="2"/>
  <c r="L123" i="2"/>
  <c r="O131" i="2"/>
  <c r="M131" i="2"/>
  <c r="K131" i="2"/>
  <c r="J131" i="2"/>
  <c r="O129" i="2"/>
  <c r="M129" i="2"/>
  <c r="J129" i="2"/>
  <c r="K129" i="2"/>
  <c r="K15" i="2"/>
  <c r="O8" i="2"/>
  <c r="M8" i="2"/>
  <c r="G12" i="1"/>
  <c r="G227" i="2"/>
  <c r="H226" i="2"/>
  <c r="P225" i="2"/>
  <c r="N225" i="2"/>
  <c r="L225" i="2"/>
  <c r="G225" i="2"/>
  <c r="H225" i="2" s="1"/>
  <c r="O224" i="2"/>
  <c r="M224" i="2"/>
  <c r="K224" i="2"/>
  <c r="J224" i="2"/>
  <c r="H224" i="2"/>
  <c r="P223" i="2"/>
  <c r="N223" i="2"/>
  <c r="L223" i="2"/>
  <c r="G223" i="2"/>
  <c r="H223" i="2" s="1"/>
  <c r="O222" i="2"/>
  <c r="M222" i="2"/>
  <c r="K222" i="2"/>
  <c r="J222" i="2"/>
  <c r="H222" i="2"/>
  <c r="P221" i="2"/>
  <c r="N221" i="2"/>
  <c r="L221" i="2"/>
  <c r="G221" i="2"/>
  <c r="H221" i="2" s="1"/>
  <c r="O220" i="2"/>
  <c r="M220" i="2"/>
  <c r="K220" i="2"/>
  <c r="J220" i="2"/>
  <c r="P219" i="2"/>
  <c r="N219" i="2"/>
  <c r="L219" i="2"/>
  <c r="G219" i="2"/>
  <c r="O218" i="2"/>
  <c r="M218" i="2"/>
  <c r="K218" i="2"/>
  <c r="J218" i="2"/>
  <c r="H218" i="2"/>
  <c r="P217" i="2"/>
  <c r="N217" i="2"/>
  <c r="L217" i="2"/>
  <c r="G217" i="2"/>
  <c r="H217" i="2" s="1"/>
  <c r="O216" i="2"/>
  <c r="M216" i="2"/>
  <c r="K216" i="2"/>
  <c r="J216" i="2"/>
  <c r="P215" i="2"/>
  <c r="N215" i="2"/>
  <c r="L215" i="2"/>
  <c r="O214" i="2"/>
  <c r="M214" i="2"/>
  <c r="K214" i="2"/>
  <c r="J214" i="2"/>
  <c r="P212" i="2"/>
  <c r="N212" i="2"/>
  <c r="L212" i="2"/>
  <c r="G212" i="2"/>
  <c r="O211" i="2"/>
  <c r="M211" i="2"/>
  <c r="K211" i="2"/>
  <c r="J211" i="2"/>
  <c r="M210" i="2"/>
  <c r="M209" i="2" s="1"/>
  <c r="L210" i="2"/>
  <c r="O209" i="2"/>
  <c r="K209" i="2"/>
  <c r="J209" i="2"/>
  <c r="P208" i="2"/>
  <c r="N208" i="2"/>
  <c r="L208" i="2"/>
  <c r="G208" i="2"/>
  <c r="H208" i="2" s="1"/>
  <c r="O207" i="2"/>
  <c r="M207" i="2"/>
  <c r="K207" i="2"/>
  <c r="J207" i="2"/>
  <c r="H207" i="2"/>
  <c r="P206" i="2"/>
  <c r="N206" i="2"/>
  <c r="L206" i="2"/>
  <c r="O205" i="2"/>
  <c r="M205" i="2"/>
  <c r="K205" i="2"/>
  <c r="J205" i="2"/>
  <c r="H205" i="2"/>
  <c r="P204" i="2"/>
  <c r="N204" i="2"/>
  <c r="L204" i="2"/>
  <c r="O203" i="2"/>
  <c r="M203" i="2"/>
  <c r="K203" i="2"/>
  <c r="J203" i="2"/>
  <c r="H203" i="2"/>
  <c r="P202" i="2"/>
  <c r="N202" i="2"/>
  <c r="L202" i="2"/>
  <c r="G202" i="2"/>
  <c r="H202" i="2" s="1"/>
  <c r="O201" i="2"/>
  <c r="M201" i="2"/>
  <c r="K201" i="2"/>
  <c r="J201" i="2"/>
  <c r="H201" i="2"/>
  <c r="P200" i="2"/>
  <c r="N200" i="2"/>
  <c r="L200" i="2"/>
  <c r="G200" i="2"/>
  <c r="H200" i="2" s="1"/>
  <c r="O199" i="2"/>
  <c r="M199" i="2"/>
  <c r="K199" i="2"/>
  <c r="J199" i="2"/>
  <c r="H199" i="2"/>
  <c r="G198" i="2"/>
  <c r="H198" i="2" s="1"/>
  <c r="P197" i="2"/>
  <c r="N197" i="2"/>
  <c r="L197" i="2"/>
  <c r="O196" i="2"/>
  <c r="M196" i="2"/>
  <c r="K196" i="2"/>
  <c r="J196" i="2"/>
  <c r="P195" i="2"/>
  <c r="N195" i="2"/>
  <c r="L195" i="2"/>
  <c r="G195" i="2"/>
  <c r="O194" i="2"/>
  <c r="M194" i="2"/>
  <c r="K194" i="2"/>
  <c r="J194" i="2"/>
  <c r="H194" i="2"/>
  <c r="G193" i="2"/>
  <c r="H193" i="2" s="1"/>
  <c r="P192" i="2"/>
  <c r="N192" i="2"/>
  <c r="L192" i="2"/>
  <c r="P190" i="2"/>
  <c r="N190" i="2"/>
  <c r="L190" i="2"/>
  <c r="H190" i="2"/>
  <c r="G188" i="2"/>
  <c r="H188" i="2" s="1"/>
  <c r="H187" i="2" s="1"/>
  <c r="P187" i="2"/>
  <c r="N187" i="2"/>
  <c r="L187" i="2"/>
  <c r="O186" i="2"/>
  <c r="M186" i="2"/>
  <c r="K186" i="2"/>
  <c r="J186" i="2"/>
  <c r="P185" i="2"/>
  <c r="N185" i="2"/>
  <c r="L185" i="2"/>
  <c r="G185" i="2"/>
  <c r="H185" i="2" s="1"/>
  <c r="O184" i="2"/>
  <c r="M184" i="2"/>
  <c r="K184" i="2"/>
  <c r="J184" i="2"/>
  <c r="P183" i="2"/>
  <c r="N183" i="2"/>
  <c r="G183" i="2"/>
  <c r="O182" i="2"/>
  <c r="M182" i="2"/>
  <c r="K182" i="2"/>
  <c r="J182" i="2"/>
  <c r="H182" i="2"/>
  <c r="P181" i="2"/>
  <c r="N181" i="2"/>
  <c r="L181" i="2"/>
  <c r="O180" i="2"/>
  <c r="M180" i="2"/>
  <c r="K180" i="2"/>
  <c r="J180" i="2"/>
  <c r="H180" i="2"/>
  <c r="P179" i="2"/>
  <c r="N179" i="2"/>
  <c r="L179" i="2"/>
  <c r="G179" i="2"/>
  <c r="H179" i="2" s="1"/>
  <c r="O178" i="2"/>
  <c r="M178" i="2"/>
  <c r="K178" i="2"/>
  <c r="J178" i="2"/>
  <c r="H178" i="2"/>
  <c r="H177" i="2" s="1"/>
  <c r="L177" i="2"/>
  <c r="G177" i="2"/>
  <c r="O176" i="2"/>
  <c r="M176" i="2"/>
  <c r="K176" i="2"/>
  <c r="J176" i="2"/>
  <c r="H176" i="2"/>
  <c r="P175" i="2"/>
  <c r="N175" i="2"/>
  <c r="L175" i="2"/>
  <c r="H175" i="2"/>
  <c r="H174" i="2" s="1"/>
  <c r="G175" i="2"/>
  <c r="O174" i="2"/>
  <c r="M174" i="2"/>
  <c r="K174" i="2"/>
  <c r="J174" i="2"/>
  <c r="P171" i="2"/>
  <c r="N171" i="2"/>
  <c r="L171" i="2"/>
  <c r="G171" i="2"/>
  <c r="H171" i="2" s="1"/>
  <c r="O170" i="2"/>
  <c r="M170" i="2"/>
  <c r="K170" i="2"/>
  <c r="J170" i="2"/>
  <c r="P169" i="2"/>
  <c r="N169" i="2"/>
  <c r="L169" i="2"/>
  <c r="O168" i="2"/>
  <c r="M168" i="2"/>
  <c r="K168" i="2"/>
  <c r="J168" i="2"/>
  <c r="P167" i="2"/>
  <c r="N167" i="2"/>
  <c r="L167" i="2"/>
  <c r="H167" i="2"/>
  <c r="G167" i="2"/>
  <c r="O166" i="2"/>
  <c r="M166" i="2"/>
  <c r="K166" i="2"/>
  <c r="J166" i="2"/>
  <c r="P165" i="2"/>
  <c r="N165" i="2"/>
  <c r="L165" i="2"/>
  <c r="O164" i="2"/>
  <c r="M164" i="2"/>
  <c r="K164" i="2"/>
  <c r="J164" i="2"/>
  <c r="P163" i="2"/>
  <c r="N163" i="2"/>
  <c r="L163" i="2"/>
  <c r="H163" i="2"/>
  <c r="G163" i="2"/>
  <c r="O162" i="2"/>
  <c r="M162" i="2"/>
  <c r="K162" i="2"/>
  <c r="J162" i="2"/>
  <c r="P161" i="2"/>
  <c r="N161" i="2"/>
  <c r="L161" i="2"/>
  <c r="H161" i="2"/>
  <c r="G161" i="2"/>
  <c r="O160" i="2"/>
  <c r="M160" i="2"/>
  <c r="K160" i="2"/>
  <c r="J160" i="2"/>
  <c r="M159" i="2"/>
  <c r="M158" i="2" s="1"/>
  <c r="L159" i="2"/>
  <c r="O158" i="2"/>
  <c r="K158" i="2"/>
  <c r="J158" i="2"/>
  <c r="P157" i="2"/>
  <c r="N157" i="2"/>
  <c r="L157" i="2"/>
  <c r="G157" i="2"/>
  <c r="H157" i="2" s="1"/>
  <c r="O156" i="2"/>
  <c r="M156" i="2"/>
  <c r="K156" i="2"/>
  <c r="J156" i="2"/>
  <c r="H156" i="2"/>
  <c r="P155" i="2"/>
  <c r="N155" i="2"/>
  <c r="L155" i="2"/>
  <c r="G155" i="2"/>
  <c r="H155" i="2" s="1"/>
  <c r="O154" i="2"/>
  <c r="M154" i="2"/>
  <c r="K154" i="2"/>
  <c r="J154" i="2"/>
  <c r="H154" i="2"/>
  <c r="P153" i="2"/>
  <c r="N153" i="2"/>
  <c r="L153" i="2"/>
  <c r="G153" i="2"/>
  <c r="H153" i="2" s="1"/>
  <c r="O152" i="2"/>
  <c r="M152" i="2"/>
  <c r="K152" i="2"/>
  <c r="J152" i="2"/>
  <c r="G151" i="2"/>
  <c r="P150" i="2"/>
  <c r="N150" i="2"/>
  <c r="L150" i="2"/>
  <c r="G150" i="2"/>
  <c r="H150" i="2" s="1"/>
  <c r="O149" i="2"/>
  <c r="M149" i="2"/>
  <c r="K149" i="2"/>
  <c r="J149" i="2"/>
  <c r="P148" i="2"/>
  <c r="N148" i="2"/>
  <c r="L148" i="2"/>
  <c r="G148" i="2"/>
  <c r="H148" i="2" s="1"/>
  <c r="O147" i="2"/>
  <c r="M147" i="2"/>
  <c r="K147" i="2"/>
  <c r="J147" i="2"/>
  <c r="P146" i="2"/>
  <c r="N146" i="2"/>
  <c r="L146" i="2"/>
  <c r="O145" i="2"/>
  <c r="M145" i="2"/>
  <c r="K145" i="2"/>
  <c r="J145" i="2"/>
  <c r="G145" i="2"/>
  <c r="H144" i="2"/>
  <c r="P143" i="2"/>
  <c r="N143" i="2"/>
  <c r="L143" i="2"/>
  <c r="G143" i="2"/>
  <c r="O142" i="2"/>
  <c r="M142" i="2"/>
  <c r="K142" i="2"/>
  <c r="J142" i="2"/>
  <c r="P141" i="2"/>
  <c r="N141" i="2"/>
  <c r="L141" i="2"/>
  <c r="O140" i="2"/>
  <c r="M140" i="2"/>
  <c r="K140" i="2"/>
  <c r="J140" i="2"/>
  <c r="G140" i="2"/>
  <c r="L139" i="2"/>
  <c r="O138" i="2"/>
  <c r="M138" i="2"/>
  <c r="K138" i="2"/>
  <c r="J138" i="2"/>
  <c r="G138" i="2"/>
  <c r="P137" i="2"/>
  <c r="N137" i="2"/>
  <c r="L137" i="2"/>
  <c r="O136" i="2"/>
  <c r="M136" i="2"/>
  <c r="K136" i="2"/>
  <c r="J136" i="2"/>
  <c r="G136" i="2"/>
  <c r="P135" i="2"/>
  <c r="N135" i="2"/>
  <c r="L135" i="2"/>
  <c r="O134" i="2"/>
  <c r="M134" i="2"/>
  <c r="K134" i="2"/>
  <c r="J134" i="2"/>
  <c r="G134" i="2"/>
  <c r="P132" i="2"/>
  <c r="N132" i="2"/>
  <c r="L132" i="2"/>
  <c r="G132" i="2"/>
  <c r="H132" i="2" s="1"/>
  <c r="P130" i="2"/>
  <c r="N130" i="2"/>
  <c r="P128" i="2"/>
  <c r="N128" i="2"/>
  <c r="L128" i="2"/>
  <c r="O127" i="2"/>
  <c r="M127" i="2"/>
  <c r="K127" i="2"/>
  <c r="J127" i="2"/>
  <c r="P125" i="2"/>
  <c r="N125" i="2"/>
  <c r="P126" i="2"/>
  <c r="N126" i="2"/>
  <c r="G126" i="2"/>
  <c r="H126" i="2" s="1"/>
  <c r="P120" i="2"/>
  <c r="N120" i="2"/>
  <c r="L120" i="2"/>
  <c r="O119" i="2"/>
  <c r="M119" i="2"/>
  <c r="K119" i="2"/>
  <c r="J119" i="2"/>
  <c r="G119" i="2"/>
  <c r="P118" i="2"/>
  <c r="N118" i="2"/>
  <c r="L118" i="2"/>
  <c r="O117" i="2"/>
  <c r="M117" i="2"/>
  <c r="K117" i="2"/>
  <c r="J117" i="2"/>
  <c r="H117" i="2"/>
  <c r="P116" i="2"/>
  <c r="N116" i="2"/>
  <c r="L116" i="2"/>
  <c r="G116" i="2"/>
  <c r="O115" i="2"/>
  <c r="M115" i="2"/>
  <c r="K115" i="2"/>
  <c r="J115" i="2"/>
  <c r="H115" i="2"/>
  <c r="P114" i="2"/>
  <c r="N114" i="2"/>
  <c r="L114" i="2"/>
  <c r="O113" i="2"/>
  <c r="M113" i="2"/>
  <c r="K113" i="2"/>
  <c r="J113" i="2"/>
  <c r="H113" i="2"/>
  <c r="P112" i="2"/>
  <c r="N112" i="2"/>
  <c r="G112" i="2"/>
  <c r="H112" i="2" s="1"/>
  <c r="O111" i="2"/>
  <c r="M111" i="2"/>
  <c r="K111" i="2"/>
  <c r="J111" i="2"/>
  <c r="H111" i="2"/>
  <c r="P110" i="2"/>
  <c r="N110" i="2"/>
  <c r="L110" i="2"/>
  <c r="G110" i="2"/>
  <c r="H110" i="2" s="1"/>
  <c r="O109" i="2"/>
  <c r="M109" i="2"/>
  <c r="K109" i="2"/>
  <c r="J109" i="2"/>
  <c r="H109" i="2"/>
  <c r="G108" i="2"/>
  <c r="H108" i="2" s="1"/>
  <c r="P107" i="2"/>
  <c r="N107" i="2"/>
  <c r="L107" i="2"/>
  <c r="H107" i="2"/>
  <c r="H106" i="2" s="1"/>
  <c r="O106" i="2"/>
  <c r="M106" i="2"/>
  <c r="K106" i="2"/>
  <c r="J106" i="2"/>
  <c r="G106" i="2"/>
  <c r="P105" i="2"/>
  <c r="N105" i="2"/>
  <c r="O104" i="2"/>
  <c r="M104" i="2"/>
  <c r="K104" i="2"/>
  <c r="J104" i="2"/>
  <c r="P103" i="2"/>
  <c r="N103" i="2"/>
  <c r="L103" i="2"/>
  <c r="G103" i="2"/>
  <c r="O102" i="2"/>
  <c r="M102" i="2"/>
  <c r="K102" i="2"/>
  <c r="J102" i="2"/>
  <c r="H102" i="2"/>
  <c r="O101" i="2"/>
  <c r="O99" i="2" s="1"/>
  <c r="L101" i="2"/>
  <c r="P100" i="2"/>
  <c r="N100" i="2"/>
  <c r="L100" i="2"/>
  <c r="H100" i="2"/>
  <c r="M99" i="2"/>
  <c r="K99" i="2"/>
  <c r="J99" i="2"/>
  <c r="G98" i="2"/>
  <c r="P97" i="2"/>
  <c r="N97" i="2"/>
  <c r="L97" i="2"/>
  <c r="O96" i="2"/>
  <c r="M96" i="2"/>
  <c r="K96" i="2"/>
  <c r="J96" i="2"/>
  <c r="H96" i="2"/>
  <c r="N95" i="2"/>
  <c r="L95" i="2"/>
  <c r="O94" i="2"/>
  <c r="M94" i="2"/>
  <c r="K94" i="2"/>
  <c r="J94" i="2"/>
  <c r="H94" i="2"/>
  <c r="N93" i="2"/>
  <c r="G93" i="2"/>
  <c r="H93" i="2" s="1"/>
  <c r="O92" i="2"/>
  <c r="M92" i="2"/>
  <c r="K92" i="2"/>
  <c r="J92" i="2"/>
  <c r="P91" i="2"/>
  <c r="N91" i="2"/>
  <c r="L91" i="2"/>
  <c r="G91" i="2"/>
  <c r="H91" i="2" s="1"/>
  <c r="O90" i="2"/>
  <c r="M90" i="2"/>
  <c r="K90" i="2"/>
  <c r="J90" i="2"/>
  <c r="G90" i="2"/>
  <c r="P89" i="2"/>
  <c r="N89" i="2"/>
  <c r="L89" i="2"/>
  <c r="O88" i="2"/>
  <c r="M88" i="2"/>
  <c r="K88" i="2"/>
  <c r="J88" i="2"/>
  <c r="P87" i="2"/>
  <c r="N87" i="2"/>
  <c r="L87" i="2"/>
  <c r="O86" i="2"/>
  <c r="M86" i="2"/>
  <c r="K86" i="2"/>
  <c r="J86" i="2"/>
  <c r="P85" i="2"/>
  <c r="N85" i="2"/>
  <c r="L85" i="2"/>
  <c r="H85" i="2"/>
  <c r="O84" i="2"/>
  <c r="M84" i="2"/>
  <c r="K84" i="2"/>
  <c r="J84" i="2"/>
  <c r="G83" i="2"/>
  <c r="P82" i="2"/>
  <c r="N82" i="2"/>
  <c r="G82" i="2"/>
  <c r="P81" i="2"/>
  <c r="N81" i="2"/>
  <c r="L81" i="2"/>
  <c r="O80" i="2"/>
  <c r="M80" i="2"/>
  <c r="K80" i="2"/>
  <c r="J80" i="2"/>
  <c r="H80" i="2"/>
  <c r="P79" i="2"/>
  <c r="N79" i="2"/>
  <c r="L79" i="2"/>
  <c r="P78" i="2"/>
  <c r="N78" i="2"/>
  <c r="L78" i="2"/>
  <c r="O77" i="2"/>
  <c r="M77" i="2"/>
  <c r="K77" i="2"/>
  <c r="J77" i="2"/>
  <c r="H77" i="2"/>
  <c r="P75" i="2"/>
  <c r="N75" i="2"/>
  <c r="L75" i="2"/>
  <c r="G75" i="2"/>
  <c r="H75" i="2" s="1"/>
  <c r="O74" i="2"/>
  <c r="M74" i="2"/>
  <c r="K74" i="2"/>
  <c r="J74" i="2"/>
  <c r="P73" i="2"/>
  <c r="N73" i="2"/>
  <c r="L73" i="2"/>
  <c r="O72" i="2"/>
  <c r="M72" i="2"/>
  <c r="K72" i="2"/>
  <c r="J72" i="2"/>
  <c r="G72" i="2"/>
  <c r="H72" i="2" s="1"/>
  <c r="P71" i="2"/>
  <c r="N71" i="2"/>
  <c r="L71" i="2"/>
  <c r="O70" i="2"/>
  <c r="M70" i="2"/>
  <c r="K70" i="2"/>
  <c r="J70" i="2"/>
  <c r="H70" i="2"/>
  <c r="P69" i="2"/>
  <c r="N69" i="2"/>
  <c r="L69" i="2"/>
  <c r="G69" i="2"/>
  <c r="H69" i="2" s="1"/>
  <c r="O68" i="2"/>
  <c r="M68" i="2"/>
  <c r="K68" i="2"/>
  <c r="J68" i="2"/>
  <c r="H68" i="2"/>
  <c r="P67" i="2"/>
  <c r="N67" i="2"/>
  <c r="L67" i="2"/>
  <c r="G67" i="2"/>
  <c r="H67" i="2" s="1"/>
  <c r="O66" i="2"/>
  <c r="M66" i="2"/>
  <c r="K66" i="2"/>
  <c r="J66" i="2"/>
  <c r="P65" i="2"/>
  <c r="N65" i="2"/>
  <c r="L65" i="2"/>
  <c r="G65" i="2"/>
  <c r="O64" i="2"/>
  <c r="M64" i="2"/>
  <c r="K64" i="2"/>
  <c r="J64" i="2"/>
  <c r="P63" i="2"/>
  <c r="N63" i="2"/>
  <c r="L63" i="2"/>
  <c r="G63" i="2"/>
  <c r="O62" i="2"/>
  <c r="M62" i="2"/>
  <c r="K62" i="2"/>
  <c r="J62" i="2"/>
  <c r="H62" i="2"/>
  <c r="P61" i="2"/>
  <c r="N61" i="2"/>
  <c r="L61" i="2"/>
  <c r="G61" i="2"/>
  <c r="H61" i="2" s="1"/>
  <c r="O60" i="2"/>
  <c r="M60" i="2"/>
  <c r="K60" i="2"/>
  <c r="J60" i="2"/>
  <c r="H60" i="2"/>
  <c r="P59" i="2"/>
  <c r="N59" i="2"/>
  <c r="L59" i="2"/>
  <c r="G59" i="2"/>
  <c r="H59" i="2" s="1"/>
  <c r="O58" i="2"/>
  <c r="M58" i="2"/>
  <c r="K58" i="2"/>
  <c r="J58" i="2"/>
  <c r="H58" i="2"/>
  <c r="P57" i="2"/>
  <c r="N57" i="2"/>
  <c r="L57" i="2"/>
  <c r="G57" i="2"/>
  <c r="H57" i="2" s="1"/>
  <c r="O56" i="2"/>
  <c r="M56" i="2"/>
  <c r="K56" i="2"/>
  <c r="J56" i="2"/>
  <c r="H56" i="2"/>
  <c r="P55" i="2"/>
  <c r="N55" i="2"/>
  <c r="L55" i="2"/>
  <c r="G55" i="2"/>
  <c r="H55" i="2" s="1"/>
  <c r="O54" i="2"/>
  <c r="M54" i="2"/>
  <c r="K54" i="2"/>
  <c r="J54" i="2"/>
  <c r="H54" i="2"/>
  <c r="P53" i="2"/>
  <c r="N53" i="2"/>
  <c r="L53" i="2"/>
  <c r="G53" i="2"/>
  <c r="H53" i="2" s="1"/>
  <c r="O52" i="2"/>
  <c r="M52" i="2"/>
  <c r="K52" i="2"/>
  <c r="J52" i="2"/>
  <c r="H52" i="2"/>
  <c r="G51" i="2"/>
  <c r="H51" i="2" s="1"/>
  <c r="P50" i="2"/>
  <c r="N50" i="2"/>
  <c r="L50" i="2"/>
  <c r="O48" i="2"/>
  <c r="M48" i="2"/>
  <c r="K48" i="2"/>
  <c r="J48" i="2"/>
  <c r="P47" i="2"/>
  <c r="N47" i="2"/>
  <c r="L47" i="2"/>
  <c r="O46" i="2"/>
  <c r="M46" i="2"/>
  <c r="K46" i="2"/>
  <c r="J46" i="2"/>
  <c r="G46" i="2"/>
  <c r="H46" i="2" s="1"/>
  <c r="P45" i="2"/>
  <c r="N45" i="2"/>
  <c r="L45" i="2"/>
  <c r="O44" i="2"/>
  <c r="M44" i="2"/>
  <c r="K44" i="2"/>
  <c r="J44" i="2"/>
  <c r="G44" i="2"/>
  <c r="P43" i="2"/>
  <c r="N43" i="2"/>
  <c r="L43" i="2"/>
  <c r="O42" i="2"/>
  <c r="M42" i="2"/>
  <c r="K42" i="2"/>
  <c r="J42" i="2"/>
  <c r="G42" i="2"/>
  <c r="P41" i="2"/>
  <c r="N41" i="2"/>
  <c r="L41" i="2"/>
  <c r="H41" i="2"/>
  <c r="O40" i="2"/>
  <c r="M40" i="2"/>
  <c r="K40" i="2"/>
  <c r="J40" i="2"/>
  <c r="G40" i="2"/>
  <c r="H40" i="2" s="1"/>
  <c r="P39" i="2"/>
  <c r="N39" i="2"/>
  <c r="L39" i="2"/>
  <c r="P38" i="2"/>
  <c r="N38" i="2"/>
  <c r="L38" i="2"/>
  <c r="H38" i="2"/>
  <c r="O37" i="2"/>
  <c r="M37" i="2"/>
  <c r="K37" i="2"/>
  <c r="J37" i="2"/>
  <c r="G37" i="2"/>
  <c r="N36" i="2"/>
  <c r="L36" i="2"/>
  <c r="N35" i="2"/>
  <c r="L35" i="2"/>
  <c r="H35" i="2"/>
  <c r="O34" i="2"/>
  <c r="M34" i="2"/>
  <c r="K34" i="2"/>
  <c r="J34" i="2"/>
  <c r="N33" i="2"/>
  <c r="L33" i="2"/>
  <c r="N32" i="2"/>
  <c r="L32" i="2"/>
  <c r="H32" i="2"/>
  <c r="O31" i="2"/>
  <c r="M31" i="2"/>
  <c r="K31" i="2"/>
  <c r="J31" i="2"/>
  <c r="G31" i="2"/>
  <c r="P30" i="2"/>
  <c r="N30" i="2"/>
  <c r="L30" i="2"/>
  <c r="H30" i="2"/>
  <c r="O29" i="2"/>
  <c r="M29" i="2"/>
  <c r="K29" i="2"/>
  <c r="J29" i="2"/>
  <c r="G29" i="2"/>
  <c r="H29" i="2" s="1"/>
  <c r="P28" i="2"/>
  <c r="N28" i="2"/>
  <c r="L28" i="2"/>
  <c r="H28" i="2"/>
  <c r="O27" i="2"/>
  <c r="M27" i="2"/>
  <c r="K27" i="2"/>
  <c r="J27" i="2"/>
  <c r="G27" i="2"/>
  <c r="H27" i="2" s="1"/>
  <c r="P26" i="2"/>
  <c r="N26" i="2"/>
  <c r="L26" i="2"/>
  <c r="H26" i="2"/>
  <c r="O25" i="2"/>
  <c r="M25" i="2"/>
  <c r="K25" i="2"/>
  <c r="J25" i="2"/>
  <c r="H25" i="2"/>
  <c r="P24" i="2"/>
  <c r="N24" i="2"/>
  <c r="L24" i="2"/>
  <c r="H24" i="2"/>
  <c r="O23" i="2"/>
  <c r="M23" i="2"/>
  <c r="K23" i="2"/>
  <c r="J23" i="2"/>
  <c r="G23" i="2"/>
  <c r="H23" i="2" s="1"/>
  <c r="N22" i="2"/>
  <c r="H22" i="2"/>
  <c r="O21" i="2"/>
  <c r="M21" i="2"/>
  <c r="K21" i="2"/>
  <c r="J21" i="2"/>
  <c r="G21" i="2"/>
  <c r="H21" i="2" s="1"/>
  <c r="P20" i="2"/>
  <c r="N20" i="2"/>
  <c r="L20" i="2"/>
  <c r="H20" i="2"/>
  <c r="O19" i="2"/>
  <c r="M19" i="2"/>
  <c r="K19" i="2"/>
  <c r="J19" i="2"/>
  <c r="G19" i="2"/>
  <c r="H19" i="2" s="1"/>
  <c r="P18" i="2"/>
  <c r="N18" i="2"/>
  <c r="L18" i="2"/>
  <c r="H18" i="2"/>
  <c r="P17" i="2"/>
  <c r="N17" i="2"/>
  <c r="L17" i="2"/>
  <c r="H17" i="2"/>
  <c r="P16" i="2"/>
  <c r="N16" i="2"/>
  <c r="L16" i="2"/>
  <c r="H16" i="2"/>
  <c r="O15" i="2"/>
  <c r="M15" i="2"/>
  <c r="J15" i="2"/>
  <c r="G15" i="2"/>
  <c r="H15" i="2" s="1"/>
  <c r="P11" i="2"/>
  <c r="N11" i="2"/>
  <c r="L11" i="2"/>
  <c r="H11" i="2"/>
  <c r="H10" i="2" s="1"/>
  <c r="H9" i="2" s="1"/>
  <c r="O10" i="2"/>
  <c r="M10" i="2"/>
  <c r="K10" i="2"/>
  <c r="K9" i="2" s="1"/>
  <c r="K8" i="2" s="1"/>
  <c r="J10" i="2"/>
  <c r="J9" i="2" s="1"/>
  <c r="J8" i="2" s="1"/>
  <c r="G10" i="2"/>
  <c r="G9" i="2" s="1"/>
  <c r="P9" i="2"/>
  <c r="H26" i="1"/>
  <c r="F26" i="1"/>
  <c r="E26" i="1"/>
  <c r="K22" i="1"/>
  <c r="I22" i="1"/>
  <c r="G22" i="1"/>
  <c r="J21" i="1"/>
  <c r="H21" i="1"/>
  <c r="F21" i="1"/>
  <c r="E21" i="1"/>
  <c r="K17" i="1"/>
  <c r="I17" i="1"/>
  <c r="G17" i="1"/>
  <c r="K16" i="1"/>
  <c r="I16" i="1"/>
  <c r="G16" i="1"/>
  <c r="J15" i="1"/>
  <c r="H15" i="1"/>
  <c r="F15" i="1"/>
  <c r="E15" i="1"/>
  <c r="K13" i="1"/>
  <c r="I13" i="1"/>
  <c r="G13" i="1"/>
  <c r="K12" i="1"/>
  <c r="I12" i="1"/>
  <c r="J11" i="1"/>
  <c r="H11" i="1"/>
  <c r="E11" i="1"/>
  <c r="F9" i="9" l="1"/>
  <c r="F12" i="9" s="1"/>
  <c r="F23" i="9" s="1"/>
  <c r="F6" i="9"/>
  <c r="E6" i="9"/>
  <c r="E9" i="9"/>
  <c r="D9" i="9"/>
  <c r="D12" i="9" s="1"/>
  <c r="D23" i="9" s="1"/>
  <c r="C9" i="9"/>
  <c r="C12" i="9" s="1"/>
  <c r="C23" i="9" s="1"/>
  <c r="C6" i="9"/>
  <c r="E12" i="9"/>
  <c r="E23" i="9" s="1"/>
  <c r="F64" i="1"/>
  <c r="J64" i="1"/>
  <c r="K64" i="1" s="1"/>
  <c r="E64" i="1"/>
  <c r="I64" i="1"/>
  <c r="G64" i="1"/>
  <c r="G15" i="1"/>
  <c r="I44" i="1"/>
  <c r="G21" i="1"/>
  <c r="G57" i="1"/>
  <c r="K57" i="1"/>
  <c r="G44" i="1"/>
  <c r="I61" i="1"/>
  <c r="K61" i="1"/>
  <c r="G9" i="1"/>
  <c r="I19" i="1"/>
  <c r="K44" i="1"/>
  <c r="G48" i="1"/>
  <c r="K48" i="1"/>
  <c r="I57" i="1"/>
  <c r="I27" i="1"/>
  <c r="K19" i="1"/>
  <c r="G61" i="1"/>
  <c r="K53" i="1"/>
  <c r="I53" i="1"/>
  <c r="G53" i="1"/>
  <c r="I48" i="1"/>
  <c r="I15" i="1"/>
  <c r="K15" i="1"/>
  <c r="G19" i="1"/>
  <c r="G27" i="1"/>
  <c r="K21" i="1"/>
  <c r="K27" i="1"/>
  <c r="I21" i="1"/>
  <c r="I26" i="1"/>
  <c r="O188" i="2"/>
  <c r="K188" i="2"/>
  <c r="M188" i="2"/>
  <c r="L131" i="2"/>
  <c r="J188" i="2"/>
  <c r="J121" i="2"/>
  <c r="M121" i="2"/>
  <c r="K121" i="2"/>
  <c r="O121" i="2"/>
  <c r="N191" i="2"/>
  <c r="L191" i="2"/>
  <c r="P191" i="2"/>
  <c r="N124" i="2"/>
  <c r="P131" i="2"/>
  <c r="P124" i="2"/>
  <c r="N131" i="2"/>
  <c r="O193" i="2"/>
  <c r="P129" i="2"/>
  <c r="J193" i="2"/>
  <c r="K193" i="2"/>
  <c r="P8" i="2"/>
  <c r="N117" i="2"/>
  <c r="N174" i="2"/>
  <c r="L109" i="2"/>
  <c r="P54" i="2"/>
  <c r="L174" i="2"/>
  <c r="N68" i="2"/>
  <c r="P140" i="2"/>
  <c r="P64" i="2"/>
  <c r="N74" i="2"/>
  <c r="N113" i="2"/>
  <c r="L203" i="2"/>
  <c r="P66" i="2"/>
  <c r="L70" i="2"/>
  <c r="P182" i="2"/>
  <c r="N129" i="2"/>
  <c r="P145" i="2"/>
  <c r="G118" i="2"/>
  <c r="H118" i="2" s="1"/>
  <c r="P40" i="2"/>
  <c r="P117" i="2"/>
  <c r="L94" i="2"/>
  <c r="N127" i="2"/>
  <c r="P19" i="2"/>
  <c r="N25" i="2"/>
  <c r="N88" i="2"/>
  <c r="N160" i="2"/>
  <c r="L162" i="2"/>
  <c r="L166" i="2"/>
  <c r="L170" i="2"/>
  <c r="P194" i="2"/>
  <c r="P196" i="2"/>
  <c r="N199" i="2"/>
  <c r="N211" i="2"/>
  <c r="N214" i="2"/>
  <c r="N218" i="2"/>
  <c r="N27" i="2"/>
  <c r="J76" i="2"/>
  <c r="P84" i="2"/>
  <c r="P86" i="2"/>
  <c r="P174" i="2"/>
  <c r="L184" i="2"/>
  <c r="L186" i="2"/>
  <c r="P199" i="2"/>
  <c r="N201" i="2"/>
  <c r="L207" i="2"/>
  <c r="N37" i="2"/>
  <c r="P102" i="2"/>
  <c r="H143" i="2"/>
  <c r="H142" i="2" s="1"/>
  <c r="L19" i="2"/>
  <c r="P74" i="2"/>
  <c r="P72" i="2"/>
  <c r="K108" i="2"/>
  <c r="N140" i="2"/>
  <c r="M144" i="2"/>
  <c r="P154" i="2"/>
  <c r="P156" i="2"/>
  <c r="P164" i="2"/>
  <c r="P168" i="2"/>
  <c r="L220" i="2"/>
  <c r="P104" i="2"/>
  <c r="L23" i="2"/>
  <c r="N80" i="2"/>
  <c r="L48" i="2"/>
  <c r="P56" i="2"/>
  <c r="N58" i="2"/>
  <c r="L96" i="2"/>
  <c r="L149" i="2"/>
  <c r="N189" i="2"/>
  <c r="P218" i="2"/>
  <c r="P15" i="2"/>
  <c r="L44" i="2"/>
  <c r="L46" i="2"/>
  <c r="N48" i="2"/>
  <c r="J83" i="2"/>
  <c r="N99" i="2"/>
  <c r="N136" i="2"/>
  <c r="L142" i="2"/>
  <c r="P189" i="2"/>
  <c r="N205" i="2"/>
  <c r="K198" i="2"/>
  <c r="P222" i="2"/>
  <c r="N52" i="2"/>
  <c r="K76" i="2"/>
  <c r="N34" i="2"/>
  <c r="N42" i="2"/>
  <c r="L74" i="2"/>
  <c r="N94" i="2"/>
  <c r="N102" i="2"/>
  <c r="P142" i="2"/>
  <c r="N9" i="2"/>
  <c r="N92" i="2"/>
  <c r="P25" i="2"/>
  <c r="N60" i="2"/>
  <c r="N77" i="2"/>
  <c r="O83" i="2"/>
  <c r="P178" i="2"/>
  <c r="N15" i="2"/>
  <c r="G14" i="2"/>
  <c r="P37" i="2"/>
  <c r="L52" i="2"/>
  <c r="P60" i="2"/>
  <c r="P62" i="2"/>
  <c r="N64" i="2"/>
  <c r="N66" i="2"/>
  <c r="M98" i="2"/>
  <c r="N104" i="2"/>
  <c r="N106" i="2"/>
  <c r="N122" i="2"/>
  <c r="N149" i="2"/>
  <c r="N180" i="2"/>
  <c r="N182" i="2"/>
  <c r="L211" i="2"/>
  <c r="L214" i="2"/>
  <c r="L218" i="2"/>
  <c r="L10" i="2"/>
  <c r="N90" i="2"/>
  <c r="P42" i="2"/>
  <c r="G50" i="2"/>
  <c r="H50" i="2" s="1"/>
  <c r="L62" i="2"/>
  <c r="P88" i="2"/>
  <c r="P113" i="2"/>
  <c r="L119" i="2"/>
  <c r="P127" i="2"/>
  <c r="O144" i="2"/>
  <c r="L31" i="2"/>
  <c r="L40" i="2"/>
  <c r="P77" i="2"/>
  <c r="P80" i="2"/>
  <c r="G187" i="2"/>
  <c r="N31" i="2"/>
  <c r="L34" i="2"/>
  <c r="N40" i="2"/>
  <c r="L58" i="2"/>
  <c r="P68" i="2"/>
  <c r="P70" i="2"/>
  <c r="N72" i="2"/>
  <c r="M76" i="2"/>
  <c r="M108" i="2"/>
  <c r="L113" i="2"/>
  <c r="L127" i="2"/>
  <c r="L136" i="2"/>
  <c r="L145" i="2"/>
  <c r="O151" i="2"/>
  <c r="L156" i="2"/>
  <c r="L158" i="2"/>
  <c r="P160" i="2"/>
  <c r="N162" i="2"/>
  <c r="L164" i="2"/>
  <c r="N166" i="2"/>
  <c r="L168" i="2"/>
  <c r="N170" i="2"/>
  <c r="P220" i="2"/>
  <c r="N222" i="2"/>
  <c r="L37" i="2"/>
  <c r="P111" i="2"/>
  <c r="N224" i="2"/>
  <c r="N178" i="2"/>
  <c r="L84" i="2"/>
  <c r="L86" i="2"/>
  <c r="P96" i="2"/>
  <c r="P134" i="2"/>
  <c r="O133" i="2"/>
  <c r="L196" i="2"/>
  <c r="P207" i="2"/>
  <c r="P224" i="2"/>
  <c r="L29" i="2"/>
  <c r="N46" i="2"/>
  <c r="P52" i="2"/>
  <c r="P152" i="2"/>
  <c r="K14" i="2"/>
  <c r="M14" i="2"/>
  <c r="P44" i="2"/>
  <c r="P46" i="2"/>
  <c r="L56" i="2"/>
  <c r="N62" i="2"/>
  <c r="L64" i="2"/>
  <c r="L66" i="2"/>
  <c r="L72" i="2"/>
  <c r="N86" i="2"/>
  <c r="L88" i="2"/>
  <c r="G97" i="2"/>
  <c r="N109" i="2"/>
  <c r="P115" i="2"/>
  <c r="L117" i="2"/>
  <c r="P122" i="2"/>
  <c r="N134" i="2"/>
  <c r="L140" i="2"/>
  <c r="N142" i="2"/>
  <c r="G142" i="2"/>
  <c r="L160" i="2"/>
  <c r="G192" i="2"/>
  <c r="H192" i="2" s="1"/>
  <c r="O198" i="2"/>
  <c r="P201" i="2"/>
  <c r="L205" i="2"/>
  <c r="L222" i="2"/>
  <c r="N44" i="2"/>
  <c r="P48" i="2"/>
  <c r="N70" i="2"/>
  <c r="G74" i="2"/>
  <c r="O76" i="2"/>
  <c r="N115" i="2"/>
  <c r="L134" i="2"/>
  <c r="L154" i="2"/>
  <c r="L176" i="2"/>
  <c r="L178" i="2"/>
  <c r="N196" i="2"/>
  <c r="O14" i="2"/>
  <c r="G34" i="2"/>
  <c r="H34" i="2" s="1"/>
  <c r="M51" i="2"/>
  <c r="L90" i="2"/>
  <c r="K98" i="2"/>
  <c r="J108" i="2"/>
  <c r="P109" i="2"/>
  <c r="N111" i="2"/>
  <c r="G105" i="2"/>
  <c r="H105" i="2" s="1"/>
  <c r="K133" i="2"/>
  <c r="P149" i="2"/>
  <c r="J173" i="2"/>
  <c r="H173" i="2"/>
  <c r="M193" i="2"/>
  <c r="J213" i="2"/>
  <c r="M133" i="2"/>
  <c r="M198" i="2"/>
  <c r="K213" i="2"/>
  <c r="O51" i="2"/>
  <c r="J98" i="2"/>
  <c r="J14" i="2"/>
  <c r="N23" i="2"/>
  <c r="L27" i="2"/>
  <c r="L42" i="2"/>
  <c r="L68" i="2"/>
  <c r="L77" i="2"/>
  <c r="L80" i="2"/>
  <c r="P90" i="2"/>
  <c r="M83" i="2"/>
  <c r="L99" i="2"/>
  <c r="P106" i="2"/>
  <c r="N119" i="2"/>
  <c r="L122" i="2"/>
  <c r="P136" i="2"/>
  <c r="N145" i="2"/>
  <c r="J144" i="2"/>
  <c r="J151" i="2"/>
  <c r="N156" i="2"/>
  <c r="P162" i="2"/>
  <c r="N164" i="2"/>
  <c r="P166" i="2"/>
  <c r="N168" i="2"/>
  <c r="P170" i="2"/>
  <c r="L180" i="2"/>
  <c r="N184" i="2"/>
  <c r="N186" i="2"/>
  <c r="L199" i="2"/>
  <c r="P203" i="2"/>
  <c r="P205" i="2"/>
  <c r="N207" i="2"/>
  <c r="P216" i="2"/>
  <c r="P27" i="2"/>
  <c r="N21" i="2"/>
  <c r="P23" i="2"/>
  <c r="P58" i="2"/>
  <c r="K51" i="2"/>
  <c r="O108" i="2"/>
  <c r="G130" i="2"/>
  <c r="H130" i="2" s="1"/>
  <c r="N152" i="2"/>
  <c r="G149" i="2"/>
  <c r="H149" i="2" s="1"/>
  <c r="P184" i="2"/>
  <c r="P186" i="2"/>
  <c r="L201" i="2"/>
  <c r="P211" i="2"/>
  <c r="L54" i="2"/>
  <c r="L102" i="2"/>
  <c r="K144" i="2"/>
  <c r="P147" i="2"/>
  <c r="O173" i="2"/>
  <c r="O213" i="2"/>
  <c r="K11" i="1"/>
  <c r="F11" i="1"/>
  <c r="G11" i="1" s="1"/>
  <c r="K9" i="1"/>
  <c r="I9" i="1"/>
  <c r="G8" i="2"/>
  <c r="H8" i="2" s="1"/>
  <c r="M151" i="2"/>
  <c r="P99" i="2"/>
  <c r="O98" i="2"/>
  <c r="N29" i="2"/>
  <c r="H31" i="2"/>
  <c r="N56" i="2"/>
  <c r="L60" i="2"/>
  <c r="H83" i="2"/>
  <c r="H116" i="2"/>
  <c r="P119" i="2"/>
  <c r="J133" i="2"/>
  <c r="L138" i="2"/>
  <c r="G170" i="2"/>
  <c r="K173" i="2"/>
  <c r="P180" i="2"/>
  <c r="L189" i="2"/>
  <c r="N203" i="2"/>
  <c r="L209" i="2"/>
  <c r="G214" i="2"/>
  <c r="H214" i="2" s="1"/>
  <c r="P214" i="2"/>
  <c r="L216" i="2"/>
  <c r="L15" i="2"/>
  <c r="L147" i="2"/>
  <c r="P29" i="2"/>
  <c r="H37" i="2"/>
  <c r="J51" i="2"/>
  <c r="K83" i="2"/>
  <c r="N96" i="2"/>
  <c r="L106" i="2"/>
  <c r="L115" i="2"/>
  <c r="N154" i="2"/>
  <c r="M173" i="2"/>
  <c r="L194" i="2"/>
  <c r="J198" i="2"/>
  <c r="N216" i="2"/>
  <c r="N220" i="2"/>
  <c r="L224" i="2"/>
  <c r="N54" i="2"/>
  <c r="H98" i="2"/>
  <c r="H97" i="2" s="1"/>
  <c r="N147" i="2"/>
  <c r="K151" i="2"/>
  <c r="L152" i="2"/>
  <c r="L9" i="2"/>
  <c r="N19" i="2"/>
  <c r="L25" i="2"/>
  <c r="N84" i="2"/>
  <c r="N194" i="2"/>
  <c r="M213" i="2"/>
  <c r="G216" i="2"/>
  <c r="J8" i="1"/>
  <c r="G26" i="1"/>
  <c r="E29" i="1"/>
  <c r="J26" i="1"/>
  <c r="K26" i="1" s="1"/>
  <c r="H8" i="1"/>
  <c r="H29" i="1" s="1"/>
  <c r="N188" i="2" l="1"/>
  <c r="J29" i="1"/>
  <c r="N121" i="2"/>
  <c r="O13" i="2"/>
  <c r="O226" i="2" s="1"/>
  <c r="L193" i="2"/>
  <c r="N193" i="2" s="1"/>
  <c r="P193" i="2" s="1"/>
  <c r="L121" i="2"/>
  <c r="K13" i="2"/>
  <c r="K226" i="2" s="1"/>
  <c r="J13" i="2"/>
  <c r="J226" i="2" s="1"/>
  <c r="M13" i="2"/>
  <c r="M226" i="2" s="1"/>
  <c r="N133" i="2"/>
  <c r="G197" i="2"/>
  <c r="H197" i="2" s="1"/>
  <c r="G49" i="2"/>
  <c r="H49" i="2" s="1"/>
  <c r="N14" i="2"/>
  <c r="P198" i="2"/>
  <c r="P144" i="2"/>
  <c r="H14" i="2"/>
  <c r="P173" i="2"/>
  <c r="P133" i="2"/>
  <c r="L76" i="2"/>
  <c r="P188" i="2"/>
  <c r="P14" i="2"/>
  <c r="P108" i="2"/>
  <c r="N51" i="2"/>
  <c r="L108" i="2"/>
  <c r="P51" i="2"/>
  <c r="L133" i="2"/>
  <c r="N108" i="2"/>
  <c r="N98" i="2"/>
  <c r="N76" i="2"/>
  <c r="N198" i="2"/>
  <c r="N144" i="2"/>
  <c r="P83" i="2"/>
  <c r="L144" i="2"/>
  <c r="L213" i="2"/>
  <c r="L14" i="2"/>
  <c r="L98" i="2"/>
  <c r="P76" i="2"/>
  <c r="G71" i="2"/>
  <c r="H71" i="2" s="1"/>
  <c r="H74" i="2"/>
  <c r="F8" i="1"/>
  <c r="I11" i="1"/>
  <c r="L83" i="2"/>
  <c r="L173" i="2"/>
  <c r="H170" i="2"/>
  <c r="G169" i="2"/>
  <c r="H169" i="2" s="1"/>
  <c r="N83" i="2"/>
  <c r="L151" i="2"/>
  <c r="N173" i="2"/>
  <c r="L198" i="2"/>
  <c r="H216" i="2"/>
  <c r="G213" i="2"/>
  <c r="G13" i="2"/>
  <c r="G6" i="2" s="1"/>
  <c r="N151" i="2"/>
  <c r="N213" i="2"/>
  <c r="P98" i="2"/>
  <c r="P151" i="2"/>
  <c r="P213" i="2"/>
  <c r="L51" i="2"/>
  <c r="K8" i="1"/>
  <c r="I8" i="1" l="1"/>
  <c r="F29" i="1"/>
  <c r="I29" i="1" s="1"/>
  <c r="P121" i="2"/>
  <c r="N8" i="2"/>
  <c r="L8" i="2"/>
  <c r="G8" i="1"/>
  <c r="G229" i="2"/>
  <c r="H229" i="2" s="1"/>
  <c r="H213" i="2"/>
  <c r="H13" i="2" s="1"/>
  <c r="H6" i="2" s="1"/>
  <c r="K29" i="1"/>
  <c r="G29" i="1" l="1"/>
  <c r="N13" i="2"/>
  <c r="L13" i="2"/>
  <c r="L226" i="2"/>
  <c r="P226" i="2"/>
  <c r="P13" i="2"/>
  <c r="N226" i="2"/>
</calcChain>
</file>

<file path=xl/sharedStrings.xml><?xml version="1.0" encoding="utf-8"?>
<sst xmlns="http://schemas.openxmlformats.org/spreadsheetml/2006/main" count="787" uniqueCount="230">
  <si>
    <t>OPĆINA ŠESTANOVAC</t>
  </si>
  <si>
    <t>OPĆI DIO PRORAČUNA 2025</t>
  </si>
  <si>
    <t>A) RAČUN PRIHODA I RASHODA</t>
  </si>
  <si>
    <t xml:space="preserve">      PRIHODI POSLOVANJA</t>
  </si>
  <si>
    <t>Raz-red</t>
  </si>
  <si>
    <t>Sku-pina</t>
  </si>
  <si>
    <t>Izvor</t>
  </si>
  <si>
    <t>Naziv prihoda</t>
  </si>
  <si>
    <t>PRORAČUN 2024 projicirano</t>
  </si>
  <si>
    <t>PRORAČUN 2025</t>
  </si>
  <si>
    <t>Projekcija proračuna za 2026</t>
  </si>
  <si>
    <t>Projekcija proračuna za 2027</t>
  </si>
  <si>
    <t>6</t>
  </si>
  <si>
    <t/>
  </si>
  <si>
    <t>PRIHODI POSLOVANJA</t>
  </si>
  <si>
    <t>Prihodi od poreza</t>
  </si>
  <si>
    <t>Pomoći iz inozemstva (darovnice) i od subjekata unutar opće države</t>
  </si>
  <si>
    <t>Prihodi od imovine</t>
  </si>
  <si>
    <t>Prihodi od upravnih i administrativnih pristojbi...</t>
  </si>
  <si>
    <t>Prihodi od prodaje proizvoda i robe te pruženih usluga i prihodi od donacija</t>
  </si>
  <si>
    <t>Ostali prihodi</t>
  </si>
  <si>
    <t xml:space="preserve">      PRIHODI OD PRODAJE NEFINANCIJSKE IMOVINE</t>
  </si>
  <si>
    <t>7</t>
  </si>
  <si>
    <t>PRIHODI OD PRODAJE NEFINANCIJSKE IMOVINE</t>
  </si>
  <si>
    <t>Prihodi od prodaje proizvedene dugotrajne imovine</t>
  </si>
  <si>
    <t>PRIMICI OD FINANCIJSKE IMOVINE I ZADUŽENA</t>
  </si>
  <si>
    <t>Primici od zaduženja</t>
  </si>
  <si>
    <t>Primljeni krediti i zajmovi od kreditnih institucija u javnom sektoru</t>
  </si>
  <si>
    <t>PRIJEDLOG PRORAČUNA 2025</t>
  </si>
  <si>
    <t>2015-2014</t>
  </si>
  <si>
    <t>INDEKS</t>
  </si>
  <si>
    <t>index</t>
  </si>
  <si>
    <t>2024 EUR</t>
  </si>
  <si>
    <t>2025 EUR</t>
  </si>
  <si>
    <t>2025/2024</t>
  </si>
  <si>
    <t>2026 EUR</t>
  </si>
  <si>
    <t>2026/2025</t>
  </si>
  <si>
    <t>2027 EUR</t>
  </si>
  <si>
    <t>2027/2026</t>
  </si>
  <si>
    <t>Razdjel: 001 Vijeće</t>
  </si>
  <si>
    <t>Glava 00101 Vijeće</t>
  </si>
  <si>
    <t xml:space="preserve">FUNKC.KLASIF. 01 - Opće javne usluge </t>
  </si>
  <si>
    <t>1000 Redovni rad vijeća</t>
  </si>
  <si>
    <t>A100001 Redovno rad vijeća</t>
  </si>
  <si>
    <t>Razdjel: 002 Načelnik i uprava</t>
  </si>
  <si>
    <t xml:space="preserve">Glava 00201 Načelnik i Upravni odjel </t>
  </si>
  <si>
    <t>1001 Javna uprava i administracija</t>
  </si>
  <si>
    <t>A100002 Redovno funkcioniranje Općine</t>
  </si>
  <si>
    <t>A100003 Stručno usavršavanje zaposlenika</t>
  </si>
  <si>
    <t>A100004 Sredstva za državne referndume, državne izbore, lokalne izbore i izbore vijeća mjesnih odbora</t>
  </si>
  <si>
    <t xml:space="preserve">A100005 Vanjski suradnici </t>
  </si>
  <si>
    <t>A100060 Ovrha po sudskim sporovima</t>
  </si>
  <si>
    <t>K200001 Nabava dugotrajne imovine za općinske prostorije</t>
  </si>
  <si>
    <t>A100008 Uređenje općinskih prostora u vlasništvu Općine</t>
  </si>
  <si>
    <t>A100009 LAG</t>
  </si>
  <si>
    <t>A100010 TURISTIČKA ZAJEDNICA</t>
  </si>
  <si>
    <t>---</t>
  </si>
  <si>
    <t>A100011 POLITIČKE STRANKE</t>
  </si>
  <si>
    <t>A100051 Poduzetnički inkubator</t>
  </si>
  <si>
    <t>FUNKC.KLASIF. 03- javni red i sigurnost</t>
  </si>
  <si>
    <t>1002 Zaštita  i spašavanje</t>
  </si>
  <si>
    <t xml:space="preserve">A100012 DVD </t>
  </si>
  <si>
    <t>A100013 DVD sezonski vatrogasac</t>
  </si>
  <si>
    <t>A100014 HGSS</t>
  </si>
  <si>
    <t>A100015 Civilna zaštita</t>
  </si>
  <si>
    <t>A100016 Crveni križ</t>
  </si>
  <si>
    <t>A100017 Ostali sudionici ZiSa</t>
  </si>
  <si>
    <t>A100018 Službe i djelatnosti kojima je ZiS redovna djelatnost</t>
  </si>
  <si>
    <t>T200001 Plan zaštite i spašavanja</t>
  </si>
  <si>
    <t>T200002 Procijena ugroženosti stanovništva i materijalnih dobara</t>
  </si>
  <si>
    <t>K200003 Procjena ugroženosti od požara</t>
  </si>
  <si>
    <t>A200004 KATASTARSKI POSLOVI</t>
  </si>
  <si>
    <t>K200004 Plan zaštite od požara</t>
  </si>
  <si>
    <t>FUNKC.KLASIF. 01- Opće javne usluge</t>
  </si>
  <si>
    <t>1003 Javni radovi</t>
  </si>
  <si>
    <t>A100079 Zapošljavanje - program ZAŽELI</t>
  </si>
  <si>
    <t>A100019 Zapošljavanje - program Javni radovi</t>
  </si>
  <si>
    <t>FUNKC.KLASIF. 04- Ekonomski poslovi</t>
  </si>
  <si>
    <t>1004 Poticanje razvoja gospodarstva</t>
  </si>
  <si>
    <t>A100020 Jačanje konkurentnosti poljoprivrednih proizvođača</t>
  </si>
  <si>
    <t>A100056 Poticanje razvoja malog poduzetništva i obrta</t>
  </si>
  <si>
    <t xml:space="preserve">Subvencije  </t>
  </si>
  <si>
    <t>K200006 Razvoj gospodarske zone i izgradnja</t>
  </si>
  <si>
    <t>K200007  Razvoj turizma (tematske staze i interaktivne karte)</t>
  </si>
  <si>
    <t>1005 Održavanje objekata i uređenje komunalne infrastrukture</t>
  </si>
  <si>
    <t>A100021 Održavanje i uređenje javnih površina i igrališta i tržnica</t>
  </si>
  <si>
    <t>A100022 Sanacija i čišćenje od snijega nerazvrstanih cesta</t>
  </si>
  <si>
    <t>1006 Razvoj i sigurnost prometa</t>
  </si>
  <si>
    <t>A100023 Sanacija nerazvrstanih cesta</t>
  </si>
  <si>
    <t>A100100 Održavanje nerazvrstanih cesta</t>
  </si>
  <si>
    <t>A100058 Kamere za sigurnost prometa</t>
  </si>
  <si>
    <t>A100024 Uređenje poljskih puteva</t>
  </si>
  <si>
    <t>A100025 Ulične table</t>
  </si>
  <si>
    <t>A100026 Putokazi</t>
  </si>
  <si>
    <t>1007 Groblja i mrtvačnice</t>
  </si>
  <si>
    <t>K200031 Proširenje groblja Grabovac i Katuni-Kreševo Žeževica i Kreševo brdo</t>
  </si>
  <si>
    <t>1008 Vodoopskrba i odvodnja</t>
  </si>
  <si>
    <t>A 10086 Vodovod IM krajine el energija</t>
  </si>
  <si>
    <t xml:space="preserve">K200010 Vodovod </t>
  </si>
  <si>
    <t>K200011 Izrada projektno tehničke dokumentacije kanalizacije središta Šestanovca</t>
  </si>
  <si>
    <t>FUNKC.KLASIF. 06- Unaprjeđenje stanovanja i zajednice</t>
  </si>
  <si>
    <t>1009 Prostorno uređenje i unapređenje stanovanja</t>
  </si>
  <si>
    <t>A100028 Održavanje javne rasvjete</t>
  </si>
  <si>
    <t>K200012 Rekonstrukcija javne rasvjete</t>
  </si>
  <si>
    <t>K200013 Izmjene i dopune PPUO Šestanovac</t>
  </si>
  <si>
    <t>FUNKC.KLASIF. 05- Zaštita okoliša</t>
  </si>
  <si>
    <t>1010 Zaštite okoliša i životne sredine</t>
  </si>
  <si>
    <t>A100029 Deratizacija i dezinsekcija</t>
  </si>
  <si>
    <t>A100047 Usluge skupljanja napuštenih i izgubljenih životinja</t>
  </si>
  <si>
    <t>K200014 Planovi intervencije u zaštiti okoliša</t>
  </si>
  <si>
    <t>A100054 Eko patrola</t>
  </si>
  <si>
    <t>A100030 Održavanje i sanacija deponija</t>
  </si>
  <si>
    <t>A100031 Naknada za zaštitu okoliša (Karepovac)</t>
  </si>
  <si>
    <t>A100059 Poticajna naknada za smanjenje MKO</t>
  </si>
  <si>
    <t>T200003 Plan gospodarenja otpadom</t>
  </si>
  <si>
    <t xml:space="preserve">K200016 Kontenjeri i spremnici </t>
  </si>
  <si>
    <t>K300002 RECIKLAŽNO DVORIŠTE</t>
  </si>
  <si>
    <t xml:space="preserve">FUNKC.KLASIF. 08-Rekreacija, kultura i religija </t>
  </si>
  <si>
    <t>1011 Potrebe u kulturi</t>
  </si>
  <si>
    <t>A100032 Potpore u kulturi (folklor, mažoretkinje)</t>
  </si>
  <si>
    <t>A100027 Monografija općine</t>
  </si>
  <si>
    <t>A100033 Pasionska baština</t>
  </si>
  <si>
    <t>K200032 Mandušića kula rekonstrukcija</t>
  </si>
  <si>
    <t>A100046 Organizacija Šestanovačkog ljeta</t>
  </si>
  <si>
    <t>1012 Organizacija rekreacije i športskih aktivnosti</t>
  </si>
  <si>
    <t>1013 Potpora udrugama i vjerskim zajednicama</t>
  </si>
  <si>
    <t xml:space="preserve">A100035 Potpora udrugama </t>
  </si>
  <si>
    <t>A100036 Potpora vjerskim zajednicama</t>
  </si>
  <si>
    <t>FUNKC.KLASIF.09- Obrazovanje</t>
  </si>
  <si>
    <t>1014 Obrazovanje</t>
  </si>
  <si>
    <t>A100037 Stipendije i školarine</t>
  </si>
  <si>
    <t>A100038 Donacije osnovno školstvo</t>
  </si>
  <si>
    <t>A100061 Nagrade za izniman uspjeh učenicima i studentima</t>
  </si>
  <si>
    <t>K200034 IZRADA PROJEKTNE DOKUMENTACIJE VRTIĆ</t>
  </si>
  <si>
    <t>A100039 Redovni rad vrtića i male škole</t>
  </si>
  <si>
    <t>K 200033 Otkup zemljišta za vrtić</t>
  </si>
  <si>
    <t>A100040 Savjet mladih</t>
  </si>
  <si>
    <t>FUNKC.KLASIF.10- Socijalna zaštita</t>
  </si>
  <si>
    <t>1015 Pomoć obiteljima i kućanstvima</t>
  </si>
  <si>
    <t>A100049 sigurnost-donacije mup</t>
  </si>
  <si>
    <t>A100041 Smještaj Policija - turistička sezona</t>
  </si>
  <si>
    <t>A100042 Naknade za novorođenčad</t>
  </si>
  <si>
    <t>A100043 Pomoć obiteljima i kućanstvima</t>
  </si>
  <si>
    <t>A100044 Sufinancirnje cijene prijevoza</t>
  </si>
  <si>
    <t>A100045 Komemoracije i obljetnice</t>
  </si>
  <si>
    <t>SVEUKUPNO:</t>
  </si>
  <si>
    <t xml:space="preserve"> </t>
  </si>
  <si>
    <t>BROJČANA OZNAKA I NAZIV FUNKCIJSKE KLASIFIKACIJE</t>
  </si>
  <si>
    <t>*RASHODI PREMA FUNKCIJSKOJ KLASIFIKACIJI</t>
  </si>
  <si>
    <t>IZVOR</t>
  </si>
  <si>
    <t>32</t>
  </si>
  <si>
    <t>31</t>
  </si>
  <si>
    <t>34</t>
  </si>
  <si>
    <t>42</t>
  </si>
  <si>
    <t>54</t>
  </si>
  <si>
    <t>38</t>
  </si>
  <si>
    <t>35</t>
  </si>
  <si>
    <t>41</t>
  </si>
  <si>
    <t>36</t>
  </si>
  <si>
    <t>37</t>
  </si>
  <si>
    <t>Rashodi za zaposlene</t>
  </si>
  <si>
    <t>Materijalni rashodi</t>
  </si>
  <si>
    <t>Financijski rashodi</t>
  </si>
  <si>
    <t>Subvencije</t>
  </si>
  <si>
    <t>Pomoći dane u inozemstvo i unutar općeg proračuna</t>
  </si>
  <si>
    <t>Naknade građanima i kućanstvima na temelju osiguranja i druge naknade</t>
  </si>
  <si>
    <t>Ostali rashodi</t>
  </si>
  <si>
    <t>Rashodi za nabavu neproizvedene dugotrajne imovine</t>
  </si>
  <si>
    <t>Rashodi za nabavu proizvedene dugotrajne imovine</t>
  </si>
  <si>
    <t>Izdaci za otplatu glavnice primljenih kredita i zajmova</t>
  </si>
  <si>
    <t>A100007 Povrat kratkoričnog kredita</t>
  </si>
  <si>
    <t>K200020 VODOOPSKRBA- građevinski objekti</t>
  </si>
  <si>
    <t>K200009 Mrtvačnica građevinski objekti</t>
  </si>
  <si>
    <t xml:space="preserve">K200015 Spomen ploče žrtvama rata i poraća </t>
  </si>
  <si>
    <t>A100034 Potpore u športu sunfinanciranje male škole nogometa</t>
  </si>
  <si>
    <t>A100057 Potpora Veterinarskoj stanici u Šestanovcu</t>
  </si>
  <si>
    <t>A100006 Dan općine</t>
  </si>
  <si>
    <t>A100052 FLAG</t>
  </si>
  <si>
    <t>A100053 Povrat kredita HBOR-a</t>
  </si>
  <si>
    <t>K200097  Električne bicikle</t>
  </si>
  <si>
    <t>K200002  Mjerač kvalitete zraka</t>
  </si>
  <si>
    <t>A100068 Tržnica uređenje</t>
  </si>
  <si>
    <t>A100067 Sanacija stabala u Kreševo Polju, Katunima, Žeževici i Grabovcu</t>
  </si>
  <si>
    <t>A100069 Održavanje groblja</t>
  </si>
  <si>
    <t>A100070 Izgradnja groblja</t>
  </si>
  <si>
    <t>K200022 Mrtvačnica oprema</t>
  </si>
  <si>
    <t>K200023 ODVODNJA - građevinski objekti</t>
  </si>
  <si>
    <t>A100066 Sanacije stare Crkve Uznesenja BDM-Katuni</t>
  </si>
  <si>
    <t>A100075 Potpore u športu donacije</t>
  </si>
  <si>
    <t>PROGRAM</t>
  </si>
  <si>
    <t>AKTIVNOSTI, KAPITALNI PROJEKTI I TEKUĆI PROJEKTI</t>
  </si>
  <si>
    <t xml:space="preserve">      RASHODI POSLOVANJA</t>
  </si>
  <si>
    <t>Naziv rashoda</t>
  </si>
  <si>
    <t>RAČUN FINACIRANJA</t>
  </si>
  <si>
    <t>Svukupno Rashodi</t>
  </si>
  <si>
    <t>Svukupno prihodi</t>
  </si>
  <si>
    <t>11 Opći prihodi i primici</t>
  </si>
  <si>
    <t>54 Pomoći za proračunske korisnike</t>
  </si>
  <si>
    <t>56 Pomoći za proračunske korisnike iz EU - prijenos</t>
  </si>
  <si>
    <t>71 Prihodi od prodaje nefinancijske imovine</t>
  </si>
  <si>
    <t>31 Vlastiti prihodi</t>
  </si>
  <si>
    <t>index 25-24</t>
  </si>
  <si>
    <t>index 26-25</t>
  </si>
  <si>
    <t>index 27-26</t>
  </si>
  <si>
    <t>81 Namjenski primici od zaduživanja</t>
  </si>
  <si>
    <t>IZDACI OD FINANCIJSKE IMOVINE I ZADUŽENA</t>
  </si>
  <si>
    <t>Izdaci od zaduženja</t>
  </si>
  <si>
    <t>71 Prihodi od prodaje nefinancijske imovine; 54 Pomoći za proračunske korisnike</t>
  </si>
  <si>
    <t>PLAN</t>
  </si>
  <si>
    <t>PROJEKCIJA</t>
  </si>
  <si>
    <t>A. SAŽETAK RAČUNA PRIHODA I RASHODA</t>
  </si>
  <si>
    <t>PRIHODI UKUPNO</t>
  </si>
  <si>
    <t xml:space="preserve">Prihodi poslovanja                                                                                  </t>
  </si>
  <si>
    <t>Prihodi od prodaje nefinancijske imovine</t>
  </si>
  <si>
    <t>RASHODI UKUPNO</t>
  </si>
  <si>
    <t>3</t>
  </si>
  <si>
    <t xml:space="preserve">Rashodi poslovanja                                                                                  </t>
  </si>
  <si>
    <t>4</t>
  </si>
  <si>
    <t xml:space="preserve">Rashodi za nabavu nefinancijske imovine                                                             </t>
  </si>
  <si>
    <t>RAZLIKA − VIŠAK / MANJAK</t>
  </si>
  <si>
    <t>B. SAŽETAK RAČUNA ZADUŽIVANJA / FINANCIRANJA</t>
  </si>
  <si>
    <t>8</t>
  </si>
  <si>
    <t xml:space="preserve">Primici od financijske imovine i zaduživanja                                                        </t>
  </si>
  <si>
    <t>5</t>
  </si>
  <si>
    <t xml:space="preserve">Izdaci za financijsku imovinu i otplate zajmova                                                     </t>
  </si>
  <si>
    <t>NETO ZADUŽIVANJE / FINANCIRANJE</t>
  </si>
  <si>
    <t>C.  PRENESENI VIŠAK / MANJAK IZ PRETHODNIH GODINA</t>
  </si>
  <si>
    <t>UKUPAN DONOS VIŠKA/MANJKA IZ PRETHODNIH GODINA</t>
  </si>
  <si>
    <t>DIO VIŠKA / MANJKA IZ PRETHODNIH GODINA KOJI ĆE SE RASPOREDITI / POKRITI U PLANIRANOM RAZDOBLJU</t>
  </si>
  <si>
    <t>VIŠAK / MANJAK + NETO ZADUŽIVANJE / FINANCIRANJE + RASPOLOŽIVA SREDSTVA IZ PRETHODNIH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</si>
</sst>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n&quot;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b/>
      <sz val="8"/>
      <name val="Times New Roman"/>
      <family val="1"/>
    </font>
    <font>
      <b/>
      <sz val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7"/>
      <name val="Times New Roman"/>
      <family val="1"/>
      <charset val="238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6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i/>
      <sz val="11"/>
      <color indexed="10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5" borderId="2" applyNumberFormat="0" applyProtection="0">
      <alignment horizontal="left" vertical="center" wrapText="1" indent="1"/>
    </xf>
    <xf numFmtId="4" fontId="26" fillId="7" borderId="2" applyNumberFormat="0" applyProtection="0">
      <alignment horizontal="right" vertical="center"/>
    </xf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6" fillId="0" borderId="0" xfId="2" applyFont="1" applyAlignment="1">
      <alignment horizontal="left"/>
    </xf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wrapText="1"/>
    </xf>
    <xf numFmtId="3" fontId="8" fillId="0" borderId="0" xfId="2" applyNumberFormat="1" applyFont="1" applyAlignment="1">
      <alignment horizontal="center"/>
    </xf>
    <xf numFmtId="0" fontId="10" fillId="0" borderId="1" xfId="2" applyFont="1" applyBorder="1" applyAlignment="1">
      <alignment horizontal="justify" vertical="center"/>
    </xf>
    <xf numFmtId="4" fontId="16" fillId="0" borderId="0" xfId="2" applyNumberFormat="1" applyFont="1" applyAlignment="1">
      <alignment wrapText="1"/>
    </xf>
    <xf numFmtId="0" fontId="17" fillId="0" borderId="0" xfId="2" applyFont="1" applyAlignment="1">
      <alignment wrapText="1"/>
    </xf>
    <xf numFmtId="0" fontId="9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9" fillId="0" borderId="0" xfId="2" applyFont="1" applyAlignment="1">
      <alignment horizontal="justify" vertical="center"/>
    </xf>
    <xf numFmtId="0" fontId="13" fillId="0" borderId="0" xfId="2" applyFont="1" applyAlignment="1">
      <alignment horizontal="justify" vertical="center"/>
    </xf>
    <xf numFmtId="0" fontId="6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4" fontId="0" fillId="0" borderId="0" xfId="0" applyNumberFormat="1"/>
    <xf numFmtId="3" fontId="15" fillId="0" borderId="0" xfId="2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10" fontId="18" fillId="0" borderId="0" xfId="1" applyNumberFormat="1" applyFont="1"/>
    <xf numFmtId="4" fontId="18" fillId="0" borderId="0" xfId="0" applyNumberFormat="1" applyFont="1"/>
    <xf numFmtId="10" fontId="18" fillId="0" borderId="0" xfId="1" applyNumberFormat="1" applyFont="1" applyAlignment="1">
      <alignment horizontal="center" vertical="center"/>
    </xf>
    <xf numFmtId="164" fontId="0" fillId="0" borderId="0" xfId="0" applyNumberFormat="1"/>
    <xf numFmtId="0" fontId="20" fillId="0" borderId="0" xfId="0" applyFont="1"/>
    <xf numFmtId="4" fontId="20" fillId="0" borderId="0" xfId="0" applyNumberFormat="1" applyFont="1"/>
    <xf numFmtId="4" fontId="20" fillId="0" borderId="0" xfId="0" applyNumberFormat="1" applyFont="1" applyAlignment="1">
      <alignment horizontal="center" vertical="center"/>
    </xf>
    <xf numFmtId="4" fontId="21" fillId="0" borderId="0" xfId="0" applyNumberFormat="1" applyFont="1"/>
    <xf numFmtId="0" fontId="22" fillId="0" borderId="0" xfId="0" applyFont="1"/>
    <xf numFmtId="10" fontId="22" fillId="0" borderId="0" xfId="1" applyNumberFormat="1" applyFont="1"/>
    <xf numFmtId="4" fontId="22" fillId="0" borderId="0" xfId="0" applyNumberFormat="1" applyFont="1"/>
    <xf numFmtId="10" fontId="22" fillId="0" borderId="0" xfId="1" applyNumberFormat="1" applyFont="1" applyAlignment="1">
      <alignment horizontal="center" vertical="center"/>
    </xf>
    <xf numFmtId="0" fontId="23" fillId="0" borderId="0" xfId="0" applyFont="1"/>
    <xf numFmtId="4" fontId="23" fillId="0" borderId="0" xfId="0" applyNumberFormat="1" applyFont="1"/>
    <xf numFmtId="4" fontId="23" fillId="0" borderId="0" xfId="0" applyNumberFormat="1" applyFont="1" applyAlignment="1">
      <alignment horizontal="center" vertical="center"/>
    </xf>
    <xf numFmtId="10" fontId="1" fillId="0" borderId="0" xfId="1" applyNumberFormat="1" applyFont="1"/>
    <xf numFmtId="10" fontId="1" fillId="0" borderId="0" xfId="1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Font="1" applyProtection="1">
      <protection locked="0"/>
    </xf>
    <xf numFmtId="10" fontId="24" fillId="0" borderId="0" xfId="1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24" fillId="0" borderId="0" xfId="1" quotePrefix="1" applyNumberFormat="1" applyFont="1" applyFill="1" applyAlignment="1">
      <alignment horizontal="center"/>
    </xf>
    <xf numFmtId="10" fontId="20" fillId="0" borderId="0" xfId="1" applyNumberFormat="1" applyFont="1" applyFill="1"/>
    <xf numFmtId="10" fontId="20" fillId="0" borderId="0" xfId="1" applyNumberFormat="1" applyFont="1" applyFill="1" applyAlignment="1">
      <alignment horizontal="center" vertical="center"/>
    </xf>
    <xf numFmtId="0" fontId="24" fillId="0" borderId="0" xfId="0" applyFont="1"/>
    <xf numFmtId="4" fontId="21" fillId="3" borderId="0" xfId="0" applyNumberFormat="1" applyFont="1" applyFill="1"/>
    <xf numFmtId="0" fontId="25" fillId="0" borderId="0" xfId="0" applyFont="1"/>
    <xf numFmtId="4" fontId="25" fillId="0" borderId="0" xfId="0" applyNumberFormat="1" applyFont="1"/>
    <xf numFmtId="4" fontId="25" fillId="0" borderId="0" xfId="0" applyNumberFormat="1" applyFont="1" applyAlignment="1">
      <alignment horizontal="center" vertical="center"/>
    </xf>
    <xf numFmtId="4" fontId="24" fillId="0" borderId="0" xfId="0" applyNumberFormat="1" applyFont="1"/>
    <xf numFmtId="10" fontId="24" fillId="0" borderId="0" xfId="1" applyNumberFormat="1" applyFont="1" applyFill="1" applyAlignment="1"/>
    <xf numFmtId="10" fontId="20" fillId="0" borderId="0" xfId="1" applyNumberFormat="1" applyFont="1" applyFill="1" applyAlignment="1"/>
    <xf numFmtId="0" fontId="0" fillId="4" borderId="0" xfId="0" applyFill="1"/>
    <xf numFmtId="0" fontId="20" fillId="4" borderId="0" xfId="0" applyFont="1" applyFill="1"/>
    <xf numFmtId="4" fontId="20" fillId="4" borderId="0" xfId="0" applyNumberFormat="1" applyFont="1" applyFill="1"/>
    <xf numFmtId="4" fontId="20" fillId="4" borderId="0" xfId="0" applyNumberFormat="1" applyFont="1" applyFill="1" applyAlignment="1">
      <alignment horizontal="center" vertical="center"/>
    </xf>
    <xf numFmtId="4" fontId="21" fillId="4" borderId="0" xfId="0" applyNumberFormat="1" applyFont="1" applyFill="1"/>
    <xf numFmtId="4" fontId="0" fillId="4" borderId="0" xfId="0" applyNumberFormat="1" applyFill="1"/>
    <xf numFmtId="10" fontId="20" fillId="4" borderId="0" xfId="1" applyNumberFormat="1" applyFont="1" applyFill="1" applyAlignment="1"/>
    <xf numFmtId="0" fontId="21" fillId="0" borderId="0" xfId="5" applyFont="1" applyAlignment="1">
      <alignment horizontal="center"/>
    </xf>
    <xf numFmtId="0" fontId="21" fillId="0" borderId="0" xfId="6" applyFont="1" applyFill="1" applyBorder="1" applyAlignment="1">
      <alignment wrapText="1"/>
    </xf>
    <xf numFmtId="0" fontId="21" fillId="0" borderId="0" xfId="0" applyFont="1"/>
    <xf numFmtId="10" fontId="20" fillId="0" borderId="0" xfId="1" applyNumberFormat="1" applyFont="1" applyFill="1" applyAlignment="1">
      <alignment horizontal="center"/>
    </xf>
    <xf numFmtId="164" fontId="21" fillId="0" borderId="0" xfId="0" applyNumberFormat="1" applyFont="1"/>
    <xf numFmtId="10" fontId="20" fillId="4" borderId="0" xfId="1" applyNumberFormat="1" applyFont="1" applyFill="1" applyAlignment="1">
      <alignment horizontal="center"/>
    </xf>
    <xf numFmtId="4" fontId="20" fillId="0" borderId="0" xfId="7" applyNumberFormat="1" applyFont="1" applyFill="1" applyBorder="1" applyAlignment="1">
      <alignment horizontal="right"/>
    </xf>
    <xf numFmtId="4" fontId="21" fillId="0" borderId="0" xfId="6" applyNumberFormat="1" applyFont="1" applyFill="1" applyBorder="1" applyAlignment="1">
      <alignment horizontal="center" vertical="center" wrapText="1"/>
    </xf>
    <xf numFmtId="4" fontId="21" fillId="0" borderId="0" xfId="6" applyNumberFormat="1" applyFont="1" applyFill="1" applyBorder="1" applyAlignment="1">
      <alignment wrapText="1"/>
    </xf>
    <xf numFmtId="4" fontId="21" fillId="4" borderId="0" xfId="6" applyNumberFormat="1" applyFont="1" applyFill="1" applyBorder="1" applyAlignment="1">
      <alignment horizontal="center" vertical="center" wrapText="1"/>
    </xf>
    <xf numFmtId="4" fontId="21" fillId="0" borderId="0" xfId="0" applyNumberFormat="1" applyFont="1" applyProtection="1">
      <protection locked="0"/>
    </xf>
    <xf numFmtId="4" fontId="20" fillId="8" borderId="0" xfId="0" applyNumberFormat="1" applyFont="1" applyFill="1"/>
    <xf numFmtId="4" fontId="21" fillId="8" borderId="0" xfId="6" applyNumberFormat="1" applyFont="1" applyFill="1" applyBorder="1" applyAlignment="1">
      <alignment horizontal="center" vertical="center" wrapText="1"/>
    </xf>
    <xf numFmtId="0" fontId="20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" fontId="0" fillId="4" borderId="0" xfId="0" applyNumberFormat="1" applyFill="1" applyProtection="1">
      <protection locked="0"/>
    </xf>
    <xf numFmtId="0" fontId="21" fillId="4" borderId="0" xfId="0" applyFont="1" applyFill="1" applyProtection="1">
      <protection locked="0"/>
    </xf>
    <xf numFmtId="4" fontId="21" fillId="8" borderId="0" xfId="0" applyNumberFormat="1" applyFont="1" applyFill="1" applyProtection="1">
      <protection locked="0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5" applyFont="1" applyAlignment="1">
      <alignment horizontal="center" vertical="center"/>
    </xf>
    <xf numFmtId="0" fontId="21" fillId="0" borderId="0" xfId="6" applyFont="1" applyFill="1" applyBorder="1" applyAlignment="1">
      <alignment vertical="center" wrapText="1"/>
    </xf>
    <xf numFmtId="4" fontId="21" fillId="0" borderId="0" xfId="6" applyNumberFormat="1" applyFont="1" applyFill="1" applyBorder="1" applyAlignment="1">
      <alignment vertical="center" wrapText="1"/>
    </xf>
    <xf numFmtId="4" fontId="21" fillId="0" borderId="0" xfId="6" quotePrefix="1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" fontId="21" fillId="8" borderId="0" xfId="6" quotePrefix="1" applyNumberFormat="1" applyFont="1" applyFill="1" applyBorder="1" applyAlignment="1">
      <alignment horizontal="center" vertical="center" wrapText="1"/>
    </xf>
    <xf numFmtId="4" fontId="20" fillId="6" borderId="0" xfId="0" applyNumberFormat="1" applyFont="1" applyFill="1" applyProtection="1">
      <protection locked="0"/>
    </xf>
    <xf numFmtId="4" fontId="21" fillId="6" borderId="0" xfId="6" applyNumberFormat="1" applyFont="1" applyFill="1" applyBorder="1" applyAlignment="1">
      <alignment horizontal="center" vertical="center" wrapText="1"/>
    </xf>
    <xf numFmtId="4" fontId="25" fillId="0" borderId="0" xfId="0" applyNumberFormat="1" applyFont="1" applyProtection="1">
      <protection locked="0"/>
    </xf>
    <xf numFmtId="4" fontId="25" fillId="0" borderId="0" xfId="6" applyNumberFormat="1" applyFont="1" applyFill="1" applyBorder="1" applyAlignment="1">
      <alignment horizontal="center" vertical="center" wrapText="1"/>
    </xf>
    <xf numFmtId="4" fontId="20" fillId="8" borderId="0" xfId="0" applyNumberFormat="1" applyFont="1" applyFill="1" applyProtection="1">
      <protection locked="0"/>
    </xf>
    <xf numFmtId="4" fontId="20" fillId="8" borderId="0" xfId="0" applyNumberFormat="1" applyFont="1" applyFill="1" applyAlignment="1" applyProtection="1">
      <alignment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0" fontId="20" fillId="4" borderId="0" xfId="0" applyFont="1" applyFill="1" applyAlignment="1">
      <alignment vertical="center"/>
    </xf>
    <xf numFmtId="0" fontId="20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4" fontId="20" fillId="6" borderId="0" xfId="0" applyNumberFormat="1" applyFont="1" applyFill="1" applyAlignment="1" applyProtection="1">
      <alignment horizontal="center" vertical="center"/>
      <protection locked="0"/>
    </xf>
    <xf numFmtId="4" fontId="20" fillId="9" borderId="0" xfId="0" applyNumberFormat="1" applyFont="1" applyFill="1"/>
    <xf numFmtId="4" fontId="20" fillId="9" borderId="0" xfId="0" applyNumberFormat="1" applyFont="1" applyFill="1" applyAlignment="1">
      <alignment horizontal="center" vertical="center"/>
    </xf>
    <xf numFmtId="4" fontId="25" fillId="0" borderId="0" xfId="0" applyNumberFormat="1" applyFont="1" applyAlignment="1" applyProtection="1">
      <alignment horizontal="center" vertical="center"/>
      <protection locked="0"/>
    </xf>
    <xf numFmtId="4" fontId="21" fillId="0" borderId="0" xfId="0" applyNumberFormat="1" applyFont="1" applyAlignment="1">
      <alignment vertical="center"/>
    </xf>
    <xf numFmtId="4" fontId="21" fillId="4" borderId="0" xfId="0" applyNumberFormat="1" applyFont="1" applyFill="1" applyProtection="1">
      <protection locked="0"/>
    </xf>
    <xf numFmtId="0" fontId="21" fillId="0" borderId="0" xfId="5" applyFont="1" applyAlignment="1">
      <alignment horizontal="center" vertical="center" wrapText="1"/>
    </xf>
    <xf numFmtId="4" fontId="20" fillId="8" borderId="0" xfId="0" quotePrefix="1" applyNumberFormat="1" applyFont="1" applyFill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4" fontId="20" fillId="8" borderId="0" xfId="0" applyNumberFormat="1" applyFont="1" applyFill="1" applyAlignment="1" applyProtection="1">
      <alignment horizontal="center" vertical="center"/>
      <protection locked="0"/>
    </xf>
    <xf numFmtId="0" fontId="17" fillId="0" borderId="0" xfId="5" applyFont="1" applyAlignment="1">
      <alignment horizontal="center" vertical="center"/>
    </xf>
    <xf numFmtId="164" fontId="2" fillId="0" borderId="0" xfId="0" applyNumberFormat="1" applyFont="1"/>
    <xf numFmtId="4" fontId="20" fillId="0" borderId="0" xfId="0" applyNumberFormat="1" applyFont="1" applyAlignment="1" applyProtection="1">
      <alignment horizontal="center" vertical="center"/>
      <protection locked="0"/>
    </xf>
    <xf numFmtId="4" fontId="20" fillId="0" borderId="0" xfId="0" applyNumberFormat="1" applyFont="1" applyProtection="1">
      <protection locked="0"/>
    </xf>
    <xf numFmtId="4" fontId="20" fillId="0" borderId="0" xfId="0" quotePrefix="1" applyNumberFormat="1" applyFont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4" fontId="27" fillId="0" borderId="0" xfId="0" applyNumberFormat="1" applyFont="1" applyProtection="1">
      <protection locked="0"/>
    </xf>
    <xf numFmtId="4" fontId="27" fillId="0" borderId="0" xfId="6" quotePrefix="1" applyNumberFormat="1" applyFont="1" applyFill="1" applyBorder="1" applyAlignment="1">
      <alignment horizontal="center" vertical="center" wrapText="1"/>
    </xf>
    <xf numFmtId="4" fontId="27" fillId="3" borderId="0" xfId="0" applyNumberFormat="1" applyFont="1" applyFill="1"/>
    <xf numFmtId="0" fontId="28" fillId="0" borderId="0" xfId="0" applyFont="1"/>
    <xf numFmtId="0" fontId="29" fillId="0" borderId="0" xfId="0" applyFont="1"/>
    <xf numFmtId="0" fontId="17" fillId="0" borderId="0" xfId="5" applyFont="1" applyAlignment="1">
      <alignment horizontal="center"/>
    </xf>
    <xf numFmtId="4" fontId="27" fillId="8" borderId="0" xfId="0" applyNumberFormat="1" applyFont="1" applyFill="1" applyProtection="1">
      <protection locked="0"/>
    </xf>
    <xf numFmtId="4" fontId="27" fillId="8" borderId="0" xfId="6" quotePrefix="1" applyNumberFormat="1" applyFont="1" applyFill="1" applyBorder="1" applyAlignment="1">
      <alignment horizontal="center" vertical="center" wrapText="1"/>
    </xf>
    <xf numFmtId="4" fontId="29" fillId="0" borderId="0" xfId="0" applyNumberFormat="1" applyFont="1"/>
    <xf numFmtId="10" fontId="29" fillId="0" borderId="0" xfId="1" applyNumberFormat="1" applyFont="1" applyFill="1" applyAlignment="1"/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4" fontId="20" fillId="4" borderId="0" xfId="0" applyNumberFormat="1" applyFont="1" applyFill="1" applyProtection="1">
      <protection locked="0"/>
    </xf>
    <xf numFmtId="0" fontId="30" fillId="10" borderId="0" xfId="0" applyFont="1" applyFill="1"/>
    <xf numFmtId="0" fontId="3" fillId="10" borderId="0" xfId="0" applyFont="1" applyFill="1"/>
    <xf numFmtId="4" fontId="19" fillId="10" borderId="0" xfId="0" applyNumberFormat="1" applyFont="1" applyFill="1" applyProtection="1">
      <protection locked="0"/>
    </xf>
    <xf numFmtId="4" fontId="19" fillId="10" borderId="0" xfId="6" applyNumberFormat="1" applyFont="1" applyFill="1" applyBorder="1" applyAlignment="1">
      <alignment horizontal="center" vertical="center" wrapText="1"/>
    </xf>
    <xf numFmtId="4" fontId="19" fillId="10" borderId="0" xfId="0" applyNumberFormat="1" applyFont="1" applyFill="1"/>
    <xf numFmtId="4" fontId="24" fillId="10" borderId="0" xfId="0" applyNumberFormat="1" applyFont="1" applyFill="1"/>
    <xf numFmtId="10" fontId="24" fillId="10" borderId="0" xfId="1" applyNumberFormat="1" applyFont="1" applyFill="1" applyAlignment="1"/>
    <xf numFmtId="10" fontId="24" fillId="10" borderId="0" xfId="1" applyNumberFormat="1" applyFont="1" applyFill="1" applyAlignment="1">
      <alignment horizontal="center"/>
    </xf>
    <xf numFmtId="10" fontId="1" fillId="0" borderId="0" xfId="1" applyNumberFormat="1" applyFont="1" applyFill="1"/>
    <xf numFmtId="4" fontId="25" fillId="11" borderId="0" xfId="0" applyNumberFormat="1" applyFont="1" applyFill="1" applyProtection="1">
      <protection locked="0"/>
    </xf>
    <xf numFmtId="4" fontId="25" fillId="11" borderId="0" xfId="0" applyNumberFormat="1" applyFont="1" applyFill="1" applyAlignment="1" applyProtection="1">
      <alignment horizontal="center" vertical="center"/>
      <protection locked="0"/>
    </xf>
    <xf numFmtId="43" fontId="0" fillId="0" borderId="0" xfId="8" applyFont="1"/>
    <xf numFmtId="10" fontId="29" fillId="0" borderId="0" xfId="1" applyNumberFormat="1" applyFont="1" applyFill="1" applyAlignment="1">
      <alignment horizontal="center"/>
    </xf>
    <xf numFmtId="10" fontId="1" fillId="0" borderId="0" xfId="1" applyNumberFormat="1" applyFont="1" applyFill="1" applyAlignment="1">
      <alignment horizontal="center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4" fontId="12" fillId="0" borderId="0" xfId="2" applyNumberFormat="1" applyFont="1" applyAlignment="1">
      <alignment wrapText="1"/>
    </xf>
    <xf numFmtId="3" fontId="17" fillId="0" borderId="0" xfId="2" applyNumberFormat="1" applyFont="1"/>
    <xf numFmtId="3" fontId="31" fillId="0" borderId="0" xfId="2" applyNumberFormat="1" applyFont="1"/>
    <xf numFmtId="3" fontId="5" fillId="0" borderId="0" xfId="2" applyNumberFormat="1" applyFont="1"/>
    <xf numFmtId="4" fontId="5" fillId="0" borderId="0" xfId="2" applyNumberFormat="1" applyFont="1"/>
    <xf numFmtId="0" fontId="14" fillId="0" borderId="0" xfId="2" applyFont="1" applyAlignment="1">
      <alignment vertical="center"/>
    </xf>
    <xf numFmtId="3" fontId="14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4" fontId="16" fillId="0" borderId="0" xfId="2" applyNumberFormat="1" applyFont="1"/>
    <xf numFmtId="3" fontId="15" fillId="0" borderId="0" xfId="2" applyNumberFormat="1" applyFont="1"/>
    <xf numFmtId="0" fontId="31" fillId="0" borderId="0" xfId="2" applyFont="1" applyAlignment="1">
      <alignment vertical="center" wrapText="1"/>
    </xf>
    <xf numFmtId="0" fontId="32" fillId="0" borderId="0" xfId="0" applyFont="1"/>
    <xf numFmtId="0" fontId="34" fillId="0" borderId="0" xfId="0" applyFont="1"/>
    <xf numFmtId="3" fontId="12" fillId="0" borderId="0" xfId="2" applyNumberFormat="1" applyFont="1" applyAlignment="1">
      <alignment wrapText="1"/>
    </xf>
    <xf numFmtId="0" fontId="35" fillId="0" borderId="0" xfId="0" applyFont="1"/>
    <xf numFmtId="4" fontId="36" fillId="0" borderId="0" xfId="0" applyNumberFormat="1" applyFont="1"/>
    <xf numFmtId="0" fontId="37" fillId="0" borderId="0" xfId="0" applyFont="1"/>
    <xf numFmtId="0" fontId="7" fillId="0" borderId="0" xfId="3" applyFont="1"/>
    <xf numFmtId="0" fontId="16" fillId="0" borderId="0" xfId="3" applyFont="1"/>
    <xf numFmtId="0" fontId="10" fillId="0" borderId="1" xfId="2" applyFont="1" applyBorder="1" applyAlignment="1">
      <alignment horizontal="justify" vertical="center" wrapText="1"/>
    </xf>
    <xf numFmtId="0" fontId="12" fillId="0" borderId="1" xfId="4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2" applyFont="1" applyAlignment="1">
      <alignment horizontal="center"/>
    </xf>
    <xf numFmtId="0" fontId="31" fillId="0" borderId="0" xfId="2" applyFont="1" applyAlignment="1">
      <alignment wrapText="1"/>
    </xf>
    <xf numFmtId="3" fontId="31" fillId="0" borderId="0" xfId="2" applyNumberFormat="1" applyFont="1" applyAlignment="1">
      <alignment wrapText="1"/>
    </xf>
    <xf numFmtId="0" fontId="38" fillId="0" borderId="0" xfId="2" applyFont="1" applyAlignment="1">
      <alignment horizontal="left"/>
    </xf>
    <xf numFmtId="0" fontId="38" fillId="0" borderId="0" xfId="2" applyFont="1" applyAlignment="1">
      <alignment horizontal="center" vertical="top"/>
    </xf>
    <xf numFmtId="0" fontId="38" fillId="0" borderId="0" xfId="2" applyFont="1" applyAlignment="1">
      <alignment horizontal="left" vertical="top"/>
    </xf>
    <xf numFmtId="0" fontId="17" fillId="0" borderId="0" xfId="2" applyFont="1" applyAlignment="1">
      <alignment horizontal="justify" vertical="top" wrapText="1"/>
    </xf>
    <xf numFmtId="3" fontId="17" fillId="0" borderId="0" xfId="2" applyNumberFormat="1" applyFont="1" applyAlignment="1">
      <alignment vertical="top"/>
    </xf>
    <xf numFmtId="0" fontId="3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3" fontId="31" fillId="0" borderId="0" xfId="2" applyNumberFormat="1" applyFont="1" applyAlignment="1">
      <alignment vertical="center" wrapText="1"/>
    </xf>
    <xf numFmtId="4" fontId="17" fillId="0" borderId="0" xfId="2" applyNumberFormat="1" applyFont="1"/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3" fontId="39" fillId="0" borderId="0" xfId="2" applyNumberFormat="1" applyFont="1" applyAlignment="1">
      <alignment vertical="center"/>
    </xf>
    <xf numFmtId="0" fontId="10" fillId="0" borderId="0" xfId="2" applyFont="1" applyAlignment="1">
      <alignment horizontal="justify" vertical="top"/>
    </xf>
    <xf numFmtId="0" fontId="10" fillId="0" borderId="0" xfId="2" applyFont="1" applyAlignment="1">
      <alignment horizontal="justify" vertical="center"/>
    </xf>
    <xf numFmtId="0" fontId="31" fillId="0" borderId="0" xfId="2" applyFont="1" applyAlignment="1">
      <alignment vertical="top" wrapText="1"/>
    </xf>
    <xf numFmtId="3" fontId="31" fillId="0" borderId="0" xfId="2" applyNumberFormat="1" applyFont="1" applyAlignment="1">
      <alignment vertical="top" wrapText="1"/>
    </xf>
    <xf numFmtId="0" fontId="40" fillId="2" borderId="0" xfId="0" applyFont="1" applyFill="1"/>
    <xf numFmtId="0" fontId="41" fillId="2" borderId="0" xfId="0" applyFont="1" applyFill="1"/>
    <xf numFmtId="4" fontId="42" fillId="2" borderId="0" xfId="0" applyNumberFormat="1" applyFont="1" applyFill="1"/>
    <xf numFmtId="4" fontId="34" fillId="0" borderId="0" xfId="0" applyNumberFormat="1" applyFont="1"/>
    <xf numFmtId="4" fontId="35" fillId="0" borderId="0" xfId="0" applyNumberFormat="1" applyFont="1"/>
    <xf numFmtId="3" fontId="34" fillId="0" borderId="0" xfId="0" applyNumberFormat="1" applyFont="1"/>
    <xf numFmtId="3" fontId="35" fillId="0" borderId="0" xfId="0" applyNumberFormat="1" applyFont="1"/>
    <xf numFmtId="0" fontId="38" fillId="0" borderId="0" xfId="2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3" fillId="0" borderId="0" xfId="0" applyFont="1"/>
    <xf numFmtId="0" fontId="18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0" fillId="4" borderId="0" xfId="0" applyFill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0" fillId="4" borderId="0" xfId="0" applyFill="1" applyAlignment="1">
      <alignment horizontal="left" vertical="center" wrapText="1"/>
    </xf>
    <xf numFmtId="0" fontId="30" fillId="10" borderId="0" xfId="0" applyFont="1" applyFill="1" applyAlignment="1">
      <alignment horizontal="left" wrapText="1"/>
    </xf>
    <xf numFmtId="0" fontId="43" fillId="12" borderId="5" xfId="0" applyFont="1" applyFill="1" applyBorder="1" applyAlignment="1">
      <alignment horizontal="center"/>
    </xf>
    <xf numFmtId="0" fontId="43" fillId="12" borderId="5" xfId="0" applyFont="1" applyFill="1" applyBorder="1" applyAlignment="1">
      <alignment horizontal="center" vertical="center"/>
    </xf>
    <xf numFmtId="4" fontId="0" fillId="13" borderId="5" xfId="0" applyNumberFormat="1" applyFill="1" applyBorder="1"/>
    <xf numFmtId="0" fontId="0" fillId="0" borderId="5" xfId="0" applyBorder="1"/>
    <xf numFmtId="4" fontId="0" fillId="0" borderId="5" xfId="0" applyNumberFormat="1" applyBorder="1"/>
    <xf numFmtId="4" fontId="0" fillId="12" borderId="5" xfId="0" applyNumberFormat="1" applyFill="1" applyBorder="1"/>
    <xf numFmtId="0" fontId="43" fillId="0" borderId="8" xfId="0" applyFon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4" fillId="13" borderId="9" xfId="0" applyFont="1" applyFill="1" applyBorder="1" applyAlignment="1">
      <alignment horizontal="left"/>
    </xf>
    <xf numFmtId="0" fontId="4" fillId="13" borderId="10" xfId="0" applyFont="1" applyFill="1" applyBorder="1" applyAlignment="1">
      <alignment horizontal="left"/>
    </xf>
    <xf numFmtId="0" fontId="0" fillId="13" borderId="10" xfId="0" applyFill="1" applyBorder="1" applyAlignment="1">
      <alignment horizontal="left"/>
    </xf>
    <xf numFmtId="0" fontId="0" fillId="12" borderId="5" xfId="0" applyFill="1" applyBorder="1"/>
    <xf numFmtId="0" fontId="0" fillId="12" borderId="9" xfId="0" applyFill="1" applyBorder="1"/>
    <xf numFmtId="0" fontId="0" fillId="12" borderId="10" xfId="0" applyFill="1" applyBorder="1"/>
    <xf numFmtId="0" fontId="0" fillId="12" borderId="9" xfId="0" applyFill="1" applyBorder="1" applyAlignment="1">
      <alignment wrapText="1"/>
    </xf>
    <xf numFmtId="0" fontId="0" fillId="12" borderId="10" xfId="0" applyFill="1" applyBorder="1" applyAlignment="1">
      <alignment wrapText="1"/>
    </xf>
    <xf numFmtId="0" fontId="4" fillId="12" borderId="9" xfId="0" applyFont="1" applyFill="1" applyBorder="1" applyAlignment="1">
      <alignment wrapText="1"/>
    </xf>
    <xf numFmtId="0" fontId="4" fillId="12" borderId="10" xfId="0" applyFont="1" applyFill="1" applyBorder="1" applyAlignment="1">
      <alignment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9">
    <cellStyle name="Normal 2" xfId="3" xr:uid="{BC967827-DB26-4306-951F-B17668C6BA26}"/>
    <cellStyle name="Normal 2 4" xfId="5" xr:uid="{11A5CDA5-528D-40BD-8E3D-D6D1CE5502A4}"/>
    <cellStyle name="Normalno" xfId="0" builtinId="0"/>
    <cellStyle name="Obično_Bilanca prihoda" xfId="4" xr:uid="{B129A897-23D4-4596-8649-0AB732C54FA2}"/>
    <cellStyle name="Obično_PRIHODI 04. -07." xfId="2" xr:uid="{12F0F07B-5584-4208-BD09-6571A3F2C854}"/>
    <cellStyle name="Postotak" xfId="1" builtinId="5"/>
    <cellStyle name="SAPBEXHLevel2" xfId="6" xr:uid="{7AE9AA34-65F1-45C7-9579-DAE8AB681B95}"/>
    <cellStyle name="SAPBEXstdData" xfId="7" xr:uid="{C9E419E2-7F52-45E7-9595-7B64BED12436}"/>
    <cellStyle name="Zarez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32C8-C2D1-41C8-8054-66CC0533FB9F}">
  <dimension ref="A2:F23"/>
  <sheetViews>
    <sheetView tabSelected="1" workbookViewId="0">
      <selection activeCell="A19" sqref="A19:F19"/>
    </sheetView>
  </sheetViews>
  <sheetFormatPr defaultRowHeight="14.4" x14ac:dyDescent="0.3"/>
  <cols>
    <col min="1" max="1" width="2" bestFit="1" customWidth="1"/>
    <col min="2" max="2" width="63.21875" bestFit="1" customWidth="1"/>
    <col min="3" max="6" width="12.5546875" bestFit="1" customWidth="1"/>
  </cols>
  <sheetData>
    <row r="2" spans="1:6" x14ac:dyDescent="0.3">
      <c r="A2" s="215"/>
      <c r="B2" s="216"/>
      <c r="C2" s="208" t="s">
        <v>208</v>
      </c>
      <c r="D2" s="208" t="s">
        <v>208</v>
      </c>
      <c r="E2" s="208" t="s">
        <v>209</v>
      </c>
      <c r="F2" s="208" t="s">
        <v>209</v>
      </c>
    </row>
    <row r="3" spans="1:6" x14ac:dyDescent="0.3">
      <c r="A3" s="217"/>
      <c r="B3" s="218"/>
      <c r="C3" s="209">
        <v>2024</v>
      </c>
      <c r="D3" s="209">
        <v>2025</v>
      </c>
      <c r="E3" s="209">
        <v>2026</v>
      </c>
      <c r="F3" s="209">
        <v>2027</v>
      </c>
    </row>
    <row r="5" spans="1:6" x14ac:dyDescent="0.3">
      <c r="A5" s="214" t="s">
        <v>210</v>
      </c>
      <c r="B5" s="214"/>
      <c r="C5" s="214"/>
      <c r="D5" s="214"/>
      <c r="E5" s="214"/>
      <c r="F5" s="214"/>
    </row>
    <row r="6" spans="1:6" x14ac:dyDescent="0.3">
      <c r="A6" s="219" t="s">
        <v>211</v>
      </c>
      <c r="B6" s="220"/>
      <c r="C6" s="210">
        <f>SUM(C7:C8)</f>
        <v>2417168.600000002</v>
      </c>
      <c r="D6" s="210">
        <f>SUM(D7:D8)</f>
        <v>3322100.0024008979</v>
      </c>
      <c r="E6" s="210">
        <f>SUM(E7:E8)</f>
        <v>3333545.0043499856</v>
      </c>
      <c r="F6" s="210">
        <f>SUM(F7:F8)</f>
        <v>3314190.0045594387</v>
      </c>
    </row>
    <row r="7" spans="1:6" x14ac:dyDescent="0.3">
      <c r="A7" s="211" t="s">
        <v>12</v>
      </c>
      <c r="B7" s="211" t="s">
        <v>212</v>
      </c>
      <c r="C7" s="212">
        <f>+'Ekonomska klasifikacija i izvor'!E8</f>
        <v>2404779.9273441285</v>
      </c>
      <c r="D7" s="212">
        <f>+'Ekonomska klasifikacija i izvor'!F8</f>
        <v>3307793.2213398716</v>
      </c>
      <c r="E7" s="212">
        <f>+'Ekonomska klasifikacija i izvor'!H8</f>
        <v>3319369.1172935488</v>
      </c>
      <c r="F7" s="212">
        <f>+'Ekonomska klasifikacija i izvor'!J8</f>
        <v>3300118.009583503</v>
      </c>
    </row>
    <row r="8" spans="1:6" x14ac:dyDescent="0.3">
      <c r="A8" s="211" t="s">
        <v>22</v>
      </c>
      <c r="B8" s="211" t="s">
        <v>213</v>
      </c>
      <c r="C8" s="212">
        <f>+'Ekonomska klasifikacija i izvor'!E26</f>
        <v>12388.672655873654</v>
      </c>
      <c r="D8" s="212">
        <f>+'Ekonomska klasifikacija i izvor'!F26</f>
        <v>14306.781061026079</v>
      </c>
      <c r="E8" s="212">
        <f>+'Ekonomska klasifikacija i izvor'!H26</f>
        <v>14175.887056437079</v>
      </c>
      <c r="F8" s="212">
        <f>+'Ekonomska klasifikacija i izvor'!J26</f>
        <v>14071.994975935646</v>
      </c>
    </row>
    <row r="9" spans="1:6" x14ac:dyDescent="0.3">
      <c r="A9" s="219" t="s">
        <v>214</v>
      </c>
      <c r="B9" s="221"/>
      <c r="C9" s="210">
        <f>SUM(C10:C11)</f>
        <v>2417168.9299999997</v>
      </c>
      <c r="D9" s="210">
        <f>SUM(D10:D11)</f>
        <v>3297100</v>
      </c>
      <c r="E9" s="210">
        <f>SUM(E10:E11)</f>
        <v>3333545</v>
      </c>
      <c r="F9" s="210">
        <f>SUM(F10:F11)</f>
        <v>3314190</v>
      </c>
    </row>
    <row r="10" spans="1:6" x14ac:dyDescent="0.3">
      <c r="A10" s="211" t="s">
        <v>215</v>
      </c>
      <c r="B10" s="211" t="s">
        <v>216</v>
      </c>
      <c r="C10" s="212">
        <f>+SUM('Ekonomska klasifikacija i izvor'!E35:E41,'Ekonomska klasifikacija i izvor'!E46:E47,'Ekonomska klasifikacija i izvor'!E50:E51,'Ekonomska klasifikacija i izvor'!E55:E56,'Ekonomska klasifikacija i izvor'!E59)</f>
        <v>1256845.8599999999</v>
      </c>
      <c r="D10" s="212">
        <f>+SUM('Ekonomska klasifikacija i izvor'!F35:F41,'Ekonomska klasifikacija i izvor'!F46:F47,'Ekonomska klasifikacija i izvor'!F50:F51,'Ekonomska klasifikacija i izvor'!F55:F56,'Ekonomska klasifikacija i izvor'!F59)</f>
        <v>2161700</v>
      </c>
      <c r="E10" s="212">
        <f>+SUM('Ekonomska klasifikacija i izvor'!H35:H41,'Ekonomska klasifikacija i izvor'!H46:H47,'Ekonomska klasifikacija i izvor'!H50:H51,'Ekonomska klasifikacija i izvor'!H55:H56,'Ekonomska klasifikacija i izvor'!H59)</f>
        <v>2183375</v>
      </c>
      <c r="F10" s="212">
        <f>+SUM('Ekonomska klasifikacija i izvor'!J35:J41,'Ekonomska klasifikacija i izvor'!J48,'Ekonomska klasifikacija i izvor'!J50:J51,'Ekonomska klasifikacija i izvor'!J55:J56)</f>
        <v>2109250</v>
      </c>
    </row>
    <row r="11" spans="1:6" x14ac:dyDescent="0.3">
      <c r="A11" s="211" t="s">
        <v>217</v>
      </c>
      <c r="B11" s="211" t="s">
        <v>218</v>
      </c>
      <c r="C11" s="212">
        <f>+'Ekonomska klasifikacija i izvor'!E42+'Ekonomska klasifikacija i izvor'!E43+'Ekonomska klasifikacija i izvor'!E52+'Ekonomska klasifikacija i izvor'!E60</f>
        <v>1160323.07</v>
      </c>
      <c r="D11" s="212">
        <f>+'Ekonomska klasifikacija i izvor'!F42+'Ekonomska klasifikacija i izvor'!F43+'Ekonomska klasifikacija i izvor'!F52+'Ekonomska klasifikacija i izvor'!F60</f>
        <v>1135400</v>
      </c>
      <c r="E11" s="212">
        <f>+'Ekonomska klasifikacija i izvor'!H42+'Ekonomska klasifikacija i izvor'!H43+'Ekonomska klasifikacija i izvor'!H52+'Ekonomska klasifikacija i izvor'!H60</f>
        <v>1150170</v>
      </c>
      <c r="F11" s="212">
        <f>+SUM('Ekonomska klasifikacija i izvor'!J42:J43,'Ekonomska klasifikacija i izvor'!J52,'Ekonomska klasifikacija i izvor'!J60)</f>
        <v>1204940</v>
      </c>
    </row>
    <row r="12" spans="1:6" x14ac:dyDescent="0.3">
      <c r="A12" s="222" t="s">
        <v>219</v>
      </c>
      <c r="B12" s="222" t="s">
        <v>13</v>
      </c>
      <c r="C12" s="213">
        <f>C6-C9</f>
        <v>-0.32999999774619937</v>
      </c>
      <c r="D12" s="213">
        <f>D6-D9</f>
        <v>25000.002400897909</v>
      </c>
      <c r="E12" s="213">
        <f>E6-E9</f>
        <v>4.3499856255948544E-3</v>
      </c>
      <c r="F12" s="213">
        <f>F6-F9</f>
        <v>4.5594386756420135E-3</v>
      </c>
    </row>
    <row r="14" spans="1:6" x14ac:dyDescent="0.3">
      <c r="A14" s="214" t="s">
        <v>220</v>
      </c>
      <c r="B14" s="214"/>
      <c r="C14" s="214"/>
      <c r="D14" s="214"/>
      <c r="E14" s="214"/>
      <c r="F14" s="214"/>
    </row>
    <row r="15" spans="1:6" x14ac:dyDescent="0.3">
      <c r="A15" s="211" t="s">
        <v>221</v>
      </c>
      <c r="B15" s="211" t="s">
        <v>222</v>
      </c>
      <c r="C15" s="212">
        <f>+'Račun financiranja'!E7</f>
        <v>145435</v>
      </c>
      <c r="D15" s="212">
        <f>+'Račun financiranja'!F7</f>
        <v>130000</v>
      </c>
      <c r="E15" s="212">
        <v>0</v>
      </c>
      <c r="F15" s="212">
        <v>0</v>
      </c>
    </row>
    <row r="16" spans="1:6" x14ac:dyDescent="0.3">
      <c r="A16" s="211" t="s">
        <v>223</v>
      </c>
      <c r="B16" s="211" t="s">
        <v>224</v>
      </c>
      <c r="C16" s="212">
        <f>+'Račun financiranja'!E12</f>
        <v>145434.66999999998</v>
      </c>
      <c r="D16" s="212">
        <f>+'Račun financiranja'!F12</f>
        <v>155000</v>
      </c>
      <c r="E16" s="212">
        <v>0</v>
      </c>
      <c r="F16" s="212">
        <v>0</v>
      </c>
    </row>
    <row r="17" spans="1:6" x14ac:dyDescent="0.3">
      <c r="A17" s="222" t="s">
        <v>225</v>
      </c>
      <c r="B17" s="222" t="s">
        <v>13</v>
      </c>
      <c r="C17" s="213">
        <f>C15-C16</f>
        <v>0.33000000001629815</v>
      </c>
      <c r="D17" s="213">
        <f>D15-D16</f>
        <v>-25000</v>
      </c>
      <c r="E17" s="213">
        <f>E15-E16</f>
        <v>0</v>
      </c>
      <c r="F17" s="213">
        <f>F15-F16</f>
        <v>0</v>
      </c>
    </row>
    <row r="19" spans="1:6" x14ac:dyDescent="0.3">
      <c r="A19" s="214" t="s">
        <v>226</v>
      </c>
      <c r="B19" s="214"/>
      <c r="C19" s="214"/>
      <c r="D19" s="214"/>
      <c r="E19" s="214"/>
      <c r="F19" s="214"/>
    </row>
    <row r="20" spans="1:6" x14ac:dyDescent="0.3">
      <c r="A20" s="223" t="s">
        <v>227</v>
      </c>
      <c r="B20" s="224"/>
      <c r="C20" s="213">
        <v>0</v>
      </c>
      <c r="D20" s="213">
        <v>0</v>
      </c>
      <c r="E20" s="213">
        <v>0</v>
      </c>
      <c r="F20" s="213">
        <v>0</v>
      </c>
    </row>
    <row r="21" spans="1:6" x14ac:dyDescent="0.3">
      <c r="A21" s="225" t="s">
        <v>228</v>
      </c>
      <c r="B21" s="226"/>
      <c r="C21" s="213">
        <v>0</v>
      </c>
      <c r="D21" s="213">
        <v>0</v>
      </c>
      <c r="E21" s="213">
        <v>0</v>
      </c>
      <c r="F21" s="213">
        <v>0</v>
      </c>
    </row>
    <row r="23" spans="1:6" x14ac:dyDescent="0.3">
      <c r="A23" s="227" t="s">
        <v>229</v>
      </c>
      <c r="B23" s="228"/>
      <c r="C23" s="213">
        <f>C12+C17+C21</f>
        <v>2.2700987756252289E-9</v>
      </c>
      <c r="D23" s="213">
        <f>D12+D17+D21</f>
        <v>2.4008979089558125E-3</v>
      </c>
      <c r="E23" s="213">
        <f>E12+E17+E21</f>
        <v>4.3499856255948544E-3</v>
      </c>
      <c r="F23" s="213">
        <f>F12+F17+F21</f>
        <v>4.5594386756420135E-3</v>
      </c>
    </row>
  </sheetData>
  <mergeCells count="11">
    <mergeCell ref="A17:B17"/>
    <mergeCell ref="A19:F19"/>
    <mergeCell ref="A20:B20"/>
    <mergeCell ref="A21:B21"/>
    <mergeCell ref="A23:B23"/>
    <mergeCell ref="A14:F14"/>
    <mergeCell ref="A2:B3"/>
    <mergeCell ref="A5:F5"/>
    <mergeCell ref="A6:B6"/>
    <mergeCell ref="A9:B9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DCCF-E3F2-422F-8755-0D7458E4CF68}">
  <sheetPr>
    <tabColor theme="0" tint="-0.14999847407452621"/>
    <pageSetUpPr fitToPage="1"/>
  </sheetPr>
  <dimension ref="A1:W232"/>
  <sheetViews>
    <sheetView workbookViewId="0">
      <pane ySplit="5" topLeftCell="A6" activePane="bottomLeft" state="frozen"/>
      <selection pane="bottomLeft" activeCell="C170" sqref="C170"/>
    </sheetView>
  </sheetViews>
  <sheetFormatPr defaultRowHeight="14.4" x14ac:dyDescent="0.3"/>
  <cols>
    <col min="1" max="1" width="26.33203125" style="145" customWidth="1"/>
    <col min="2" max="2" width="3.88671875" style="26" customWidth="1"/>
    <col min="3" max="3" width="1.44140625" style="26" customWidth="1"/>
    <col min="4" max="5" width="4.6640625" style="26" customWidth="1"/>
    <col min="6" max="6" width="67.5546875" customWidth="1"/>
    <col min="7" max="7" width="16" style="27" hidden="1" customWidth="1"/>
    <col min="8" max="8" width="6" style="28" hidden="1" customWidth="1"/>
    <col min="9" max="9" width="25.33203125" style="29" hidden="1" customWidth="1"/>
    <col min="10" max="10" width="19" style="16" customWidth="1"/>
    <col min="11" max="11" width="19" customWidth="1"/>
    <col min="12" max="12" width="10" style="37" customWidth="1"/>
    <col min="13" max="13" width="16.33203125" style="16" customWidth="1"/>
    <col min="14" max="14" width="11.6640625" style="38" bestFit="1" customWidth="1"/>
    <col min="15" max="15" width="12.5546875" bestFit="1" customWidth="1"/>
    <col min="16" max="16" width="9.88671875" bestFit="1" customWidth="1"/>
    <col min="17" max="18" width="16.5546875" style="25" customWidth="1"/>
    <col min="19" max="19" width="11.33203125" bestFit="1" customWidth="1"/>
    <col min="256" max="256" width="2.88671875" customWidth="1"/>
    <col min="257" max="258" width="3.88671875" customWidth="1"/>
    <col min="259" max="259" width="1.44140625" customWidth="1"/>
    <col min="260" max="261" width="4.6640625" customWidth="1"/>
    <col min="262" max="262" width="67.5546875" customWidth="1"/>
    <col min="263" max="265" width="0" hidden="1" customWidth="1"/>
    <col min="266" max="267" width="19" customWidth="1"/>
    <col min="268" max="268" width="10" customWidth="1"/>
    <col min="269" max="269" width="16.33203125" customWidth="1"/>
    <col min="270" max="270" width="11.6640625" bestFit="1" customWidth="1"/>
    <col min="271" max="271" width="12.5546875" bestFit="1" customWidth="1"/>
    <col min="272" max="272" width="9.88671875" bestFit="1" customWidth="1"/>
    <col min="273" max="274" width="16.5546875" customWidth="1"/>
    <col min="512" max="512" width="2.88671875" customWidth="1"/>
    <col min="513" max="514" width="3.88671875" customWidth="1"/>
    <col min="515" max="515" width="1.44140625" customWidth="1"/>
    <col min="516" max="517" width="4.6640625" customWidth="1"/>
    <col min="518" max="518" width="67.5546875" customWidth="1"/>
    <col min="519" max="521" width="0" hidden="1" customWidth="1"/>
    <col min="522" max="523" width="19" customWidth="1"/>
    <col min="524" max="524" width="10" customWidth="1"/>
    <col min="525" max="525" width="16.33203125" customWidth="1"/>
    <col min="526" max="526" width="11.6640625" bestFit="1" customWidth="1"/>
    <col min="527" max="527" width="12.5546875" bestFit="1" customWidth="1"/>
    <col min="528" max="528" width="9.88671875" bestFit="1" customWidth="1"/>
    <col min="529" max="530" width="16.5546875" customWidth="1"/>
    <col min="768" max="768" width="2.88671875" customWidth="1"/>
    <col min="769" max="770" width="3.88671875" customWidth="1"/>
    <col min="771" max="771" width="1.44140625" customWidth="1"/>
    <col min="772" max="773" width="4.6640625" customWidth="1"/>
    <col min="774" max="774" width="67.5546875" customWidth="1"/>
    <col min="775" max="777" width="0" hidden="1" customWidth="1"/>
    <col min="778" max="779" width="19" customWidth="1"/>
    <col min="780" max="780" width="10" customWidth="1"/>
    <col min="781" max="781" width="16.33203125" customWidth="1"/>
    <col min="782" max="782" width="11.6640625" bestFit="1" customWidth="1"/>
    <col min="783" max="783" width="12.5546875" bestFit="1" customWidth="1"/>
    <col min="784" max="784" width="9.88671875" bestFit="1" customWidth="1"/>
    <col min="785" max="786" width="16.5546875" customWidth="1"/>
    <col min="1024" max="1024" width="2.88671875" customWidth="1"/>
    <col min="1025" max="1026" width="3.88671875" customWidth="1"/>
    <col min="1027" max="1027" width="1.44140625" customWidth="1"/>
    <col min="1028" max="1029" width="4.6640625" customWidth="1"/>
    <col min="1030" max="1030" width="67.5546875" customWidth="1"/>
    <col min="1031" max="1033" width="0" hidden="1" customWidth="1"/>
    <col min="1034" max="1035" width="19" customWidth="1"/>
    <col min="1036" max="1036" width="10" customWidth="1"/>
    <col min="1037" max="1037" width="16.33203125" customWidth="1"/>
    <col min="1038" max="1038" width="11.6640625" bestFit="1" customWidth="1"/>
    <col min="1039" max="1039" width="12.5546875" bestFit="1" customWidth="1"/>
    <col min="1040" max="1040" width="9.88671875" bestFit="1" customWidth="1"/>
    <col min="1041" max="1042" width="16.5546875" customWidth="1"/>
    <col min="1280" max="1280" width="2.88671875" customWidth="1"/>
    <col min="1281" max="1282" width="3.88671875" customWidth="1"/>
    <col min="1283" max="1283" width="1.44140625" customWidth="1"/>
    <col min="1284" max="1285" width="4.6640625" customWidth="1"/>
    <col min="1286" max="1286" width="67.5546875" customWidth="1"/>
    <col min="1287" max="1289" width="0" hidden="1" customWidth="1"/>
    <col min="1290" max="1291" width="19" customWidth="1"/>
    <col min="1292" max="1292" width="10" customWidth="1"/>
    <col min="1293" max="1293" width="16.33203125" customWidth="1"/>
    <col min="1294" max="1294" width="11.6640625" bestFit="1" customWidth="1"/>
    <col min="1295" max="1295" width="12.5546875" bestFit="1" customWidth="1"/>
    <col min="1296" max="1296" width="9.88671875" bestFit="1" customWidth="1"/>
    <col min="1297" max="1298" width="16.5546875" customWidth="1"/>
    <col min="1536" max="1536" width="2.88671875" customWidth="1"/>
    <col min="1537" max="1538" width="3.88671875" customWidth="1"/>
    <col min="1539" max="1539" width="1.44140625" customWidth="1"/>
    <col min="1540" max="1541" width="4.6640625" customWidth="1"/>
    <col min="1542" max="1542" width="67.5546875" customWidth="1"/>
    <col min="1543" max="1545" width="0" hidden="1" customWidth="1"/>
    <col min="1546" max="1547" width="19" customWidth="1"/>
    <col min="1548" max="1548" width="10" customWidth="1"/>
    <col min="1549" max="1549" width="16.33203125" customWidth="1"/>
    <col min="1550" max="1550" width="11.6640625" bestFit="1" customWidth="1"/>
    <col min="1551" max="1551" width="12.5546875" bestFit="1" customWidth="1"/>
    <col min="1552" max="1552" width="9.88671875" bestFit="1" customWidth="1"/>
    <col min="1553" max="1554" width="16.5546875" customWidth="1"/>
    <col min="1792" max="1792" width="2.88671875" customWidth="1"/>
    <col min="1793" max="1794" width="3.88671875" customWidth="1"/>
    <col min="1795" max="1795" width="1.44140625" customWidth="1"/>
    <col min="1796" max="1797" width="4.6640625" customWidth="1"/>
    <col min="1798" max="1798" width="67.5546875" customWidth="1"/>
    <col min="1799" max="1801" width="0" hidden="1" customWidth="1"/>
    <col min="1802" max="1803" width="19" customWidth="1"/>
    <col min="1804" max="1804" width="10" customWidth="1"/>
    <col min="1805" max="1805" width="16.33203125" customWidth="1"/>
    <col min="1806" max="1806" width="11.6640625" bestFit="1" customWidth="1"/>
    <col min="1807" max="1807" width="12.5546875" bestFit="1" customWidth="1"/>
    <col min="1808" max="1808" width="9.88671875" bestFit="1" customWidth="1"/>
    <col min="1809" max="1810" width="16.5546875" customWidth="1"/>
    <col min="2048" max="2048" width="2.88671875" customWidth="1"/>
    <col min="2049" max="2050" width="3.88671875" customWidth="1"/>
    <col min="2051" max="2051" width="1.44140625" customWidth="1"/>
    <col min="2052" max="2053" width="4.6640625" customWidth="1"/>
    <col min="2054" max="2054" width="67.5546875" customWidth="1"/>
    <col min="2055" max="2057" width="0" hidden="1" customWidth="1"/>
    <col min="2058" max="2059" width="19" customWidth="1"/>
    <col min="2060" max="2060" width="10" customWidth="1"/>
    <col min="2061" max="2061" width="16.33203125" customWidth="1"/>
    <col min="2062" max="2062" width="11.6640625" bestFit="1" customWidth="1"/>
    <col min="2063" max="2063" width="12.5546875" bestFit="1" customWidth="1"/>
    <col min="2064" max="2064" width="9.88671875" bestFit="1" customWidth="1"/>
    <col min="2065" max="2066" width="16.5546875" customWidth="1"/>
    <col min="2304" max="2304" width="2.88671875" customWidth="1"/>
    <col min="2305" max="2306" width="3.88671875" customWidth="1"/>
    <col min="2307" max="2307" width="1.44140625" customWidth="1"/>
    <col min="2308" max="2309" width="4.6640625" customWidth="1"/>
    <col min="2310" max="2310" width="67.5546875" customWidth="1"/>
    <col min="2311" max="2313" width="0" hidden="1" customWidth="1"/>
    <col min="2314" max="2315" width="19" customWidth="1"/>
    <col min="2316" max="2316" width="10" customWidth="1"/>
    <col min="2317" max="2317" width="16.33203125" customWidth="1"/>
    <col min="2318" max="2318" width="11.6640625" bestFit="1" customWidth="1"/>
    <col min="2319" max="2319" width="12.5546875" bestFit="1" customWidth="1"/>
    <col min="2320" max="2320" width="9.88671875" bestFit="1" customWidth="1"/>
    <col min="2321" max="2322" width="16.5546875" customWidth="1"/>
    <col min="2560" max="2560" width="2.88671875" customWidth="1"/>
    <col min="2561" max="2562" width="3.88671875" customWidth="1"/>
    <col min="2563" max="2563" width="1.44140625" customWidth="1"/>
    <col min="2564" max="2565" width="4.6640625" customWidth="1"/>
    <col min="2566" max="2566" width="67.5546875" customWidth="1"/>
    <col min="2567" max="2569" width="0" hidden="1" customWidth="1"/>
    <col min="2570" max="2571" width="19" customWidth="1"/>
    <col min="2572" max="2572" width="10" customWidth="1"/>
    <col min="2573" max="2573" width="16.33203125" customWidth="1"/>
    <col min="2574" max="2574" width="11.6640625" bestFit="1" customWidth="1"/>
    <col min="2575" max="2575" width="12.5546875" bestFit="1" customWidth="1"/>
    <col min="2576" max="2576" width="9.88671875" bestFit="1" customWidth="1"/>
    <col min="2577" max="2578" width="16.5546875" customWidth="1"/>
    <col min="2816" max="2816" width="2.88671875" customWidth="1"/>
    <col min="2817" max="2818" width="3.88671875" customWidth="1"/>
    <col min="2819" max="2819" width="1.44140625" customWidth="1"/>
    <col min="2820" max="2821" width="4.6640625" customWidth="1"/>
    <col min="2822" max="2822" width="67.5546875" customWidth="1"/>
    <col min="2823" max="2825" width="0" hidden="1" customWidth="1"/>
    <col min="2826" max="2827" width="19" customWidth="1"/>
    <col min="2828" max="2828" width="10" customWidth="1"/>
    <col min="2829" max="2829" width="16.33203125" customWidth="1"/>
    <col min="2830" max="2830" width="11.6640625" bestFit="1" customWidth="1"/>
    <col min="2831" max="2831" width="12.5546875" bestFit="1" customWidth="1"/>
    <col min="2832" max="2832" width="9.88671875" bestFit="1" customWidth="1"/>
    <col min="2833" max="2834" width="16.5546875" customWidth="1"/>
    <col min="3072" max="3072" width="2.88671875" customWidth="1"/>
    <col min="3073" max="3074" width="3.88671875" customWidth="1"/>
    <col min="3075" max="3075" width="1.44140625" customWidth="1"/>
    <col min="3076" max="3077" width="4.6640625" customWidth="1"/>
    <col min="3078" max="3078" width="67.5546875" customWidth="1"/>
    <col min="3079" max="3081" width="0" hidden="1" customWidth="1"/>
    <col min="3082" max="3083" width="19" customWidth="1"/>
    <col min="3084" max="3084" width="10" customWidth="1"/>
    <col min="3085" max="3085" width="16.33203125" customWidth="1"/>
    <col min="3086" max="3086" width="11.6640625" bestFit="1" customWidth="1"/>
    <col min="3087" max="3087" width="12.5546875" bestFit="1" customWidth="1"/>
    <col min="3088" max="3088" width="9.88671875" bestFit="1" customWidth="1"/>
    <col min="3089" max="3090" width="16.5546875" customWidth="1"/>
    <col min="3328" max="3328" width="2.88671875" customWidth="1"/>
    <col min="3329" max="3330" width="3.88671875" customWidth="1"/>
    <col min="3331" max="3331" width="1.44140625" customWidth="1"/>
    <col min="3332" max="3333" width="4.6640625" customWidth="1"/>
    <col min="3334" max="3334" width="67.5546875" customWidth="1"/>
    <col min="3335" max="3337" width="0" hidden="1" customWidth="1"/>
    <col min="3338" max="3339" width="19" customWidth="1"/>
    <col min="3340" max="3340" width="10" customWidth="1"/>
    <col min="3341" max="3341" width="16.33203125" customWidth="1"/>
    <col min="3342" max="3342" width="11.6640625" bestFit="1" customWidth="1"/>
    <col min="3343" max="3343" width="12.5546875" bestFit="1" customWidth="1"/>
    <col min="3344" max="3344" width="9.88671875" bestFit="1" customWidth="1"/>
    <col min="3345" max="3346" width="16.5546875" customWidth="1"/>
    <col min="3584" max="3584" width="2.88671875" customWidth="1"/>
    <col min="3585" max="3586" width="3.88671875" customWidth="1"/>
    <col min="3587" max="3587" width="1.44140625" customWidth="1"/>
    <col min="3588" max="3589" width="4.6640625" customWidth="1"/>
    <col min="3590" max="3590" width="67.5546875" customWidth="1"/>
    <col min="3591" max="3593" width="0" hidden="1" customWidth="1"/>
    <col min="3594" max="3595" width="19" customWidth="1"/>
    <col min="3596" max="3596" width="10" customWidth="1"/>
    <col min="3597" max="3597" width="16.33203125" customWidth="1"/>
    <col min="3598" max="3598" width="11.6640625" bestFit="1" customWidth="1"/>
    <col min="3599" max="3599" width="12.5546875" bestFit="1" customWidth="1"/>
    <col min="3600" max="3600" width="9.88671875" bestFit="1" customWidth="1"/>
    <col min="3601" max="3602" width="16.5546875" customWidth="1"/>
    <col min="3840" max="3840" width="2.88671875" customWidth="1"/>
    <col min="3841" max="3842" width="3.88671875" customWidth="1"/>
    <col min="3843" max="3843" width="1.44140625" customWidth="1"/>
    <col min="3844" max="3845" width="4.6640625" customWidth="1"/>
    <col min="3846" max="3846" width="67.5546875" customWidth="1"/>
    <col min="3847" max="3849" width="0" hidden="1" customWidth="1"/>
    <col min="3850" max="3851" width="19" customWidth="1"/>
    <col min="3852" max="3852" width="10" customWidth="1"/>
    <col min="3853" max="3853" width="16.33203125" customWidth="1"/>
    <col min="3854" max="3854" width="11.6640625" bestFit="1" customWidth="1"/>
    <col min="3855" max="3855" width="12.5546875" bestFit="1" customWidth="1"/>
    <col min="3856" max="3856" width="9.88671875" bestFit="1" customWidth="1"/>
    <col min="3857" max="3858" width="16.5546875" customWidth="1"/>
    <col min="4096" max="4096" width="2.88671875" customWidth="1"/>
    <col min="4097" max="4098" width="3.88671875" customWidth="1"/>
    <col min="4099" max="4099" width="1.44140625" customWidth="1"/>
    <col min="4100" max="4101" width="4.6640625" customWidth="1"/>
    <col min="4102" max="4102" width="67.5546875" customWidth="1"/>
    <col min="4103" max="4105" width="0" hidden="1" customWidth="1"/>
    <col min="4106" max="4107" width="19" customWidth="1"/>
    <col min="4108" max="4108" width="10" customWidth="1"/>
    <col min="4109" max="4109" width="16.33203125" customWidth="1"/>
    <col min="4110" max="4110" width="11.6640625" bestFit="1" customWidth="1"/>
    <col min="4111" max="4111" width="12.5546875" bestFit="1" customWidth="1"/>
    <col min="4112" max="4112" width="9.88671875" bestFit="1" customWidth="1"/>
    <col min="4113" max="4114" width="16.5546875" customWidth="1"/>
    <col min="4352" max="4352" width="2.88671875" customWidth="1"/>
    <col min="4353" max="4354" width="3.88671875" customWidth="1"/>
    <col min="4355" max="4355" width="1.44140625" customWidth="1"/>
    <col min="4356" max="4357" width="4.6640625" customWidth="1"/>
    <col min="4358" max="4358" width="67.5546875" customWidth="1"/>
    <col min="4359" max="4361" width="0" hidden="1" customWidth="1"/>
    <col min="4362" max="4363" width="19" customWidth="1"/>
    <col min="4364" max="4364" width="10" customWidth="1"/>
    <col min="4365" max="4365" width="16.33203125" customWidth="1"/>
    <col min="4366" max="4366" width="11.6640625" bestFit="1" customWidth="1"/>
    <col min="4367" max="4367" width="12.5546875" bestFit="1" customWidth="1"/>
    <col min="4368" max="4368" width="9.88671875" bestFit="1" customWidth="1"/>
    <col min="4369" max="4370" width="16.5546875" customWidth="1"/>
    <col min="4608" max="4608" width="2.88671875" customWidth="1"/>
    <col min="4609" max="4610" width="3.88671875" customWidth="1"/>
    <col min="4611" max="4611" width="1.44140625" customWidth="1"/>
    <col min="4612" max="4613" width="4.6640625" customWidth="1"/>
    <col min="4614" max="4614" width="67.5546875" customWidth="1"/>
    <col min="4615" max="4617" width="0" hidden="1" customWidth="1"/>
    <col min="4618" max="4619" width="19" customWidth="1"/>
    <col min="4620" max="4620" width="10" customWidth="1"/>
    <col min="4621" max="4621" width="16.33203125" customWidth="1"/>
    <col min="4622" max="4622" width="11.6640625" bestFit="1" customWidth="1"/>
    <col min="4623" max="4623" width="12.5546875" bestFit="1" customWidth="1"/>
    <col min="4624" max="4624" width="9.88671875" bestFit="1" customWidth="1"/>
    <col min="4625" max="4626" width="16.5546875" customWidth="1"/>
    <col min="4864" max="4864" width="2.88671875" customWidth="1"/>
    <col min="4865" max="4866" width="3.88671875" customWidth="1"/>
    <col min="4867" max="4867" width="1.44140625" customWidth="1"/>
    <col min="4868" max="4869" width="4.6640625" customWidth="1"/>
    <col min="4870" max="4870" width="67.5546875" customWidth="1"/>
    <col min="4871" max="4873" width="0" hidden="1" customWidth="1"/>
    <col min="4874" max="4875" width="19" customWidth="1"/>
    <col min="4876" max="4876" width="10" customWidth="1"/>
    <col min="4877" max="4877" width="16.33203125" customWidth="1"/>
    <col min="4878" max="4878" width="11.6640625" bestFit="1" customWidth="1"/>
    <col min="4879" max="4879" width="12.5546875" bestFit="1" customWidth="1"/>
    <col min="4880" max="4880" width="9.88671875" bestFit="1" customWidth="1"/>
    <col min="4881" max="4882" width="16.5546875" customWidth="1"/>
    <col min="5120" max="5120" width="2.88671875" customWidth="1"/>
    <col min="5121" max="5122" width="3.88671875" customWidth="1"/>
    <col min="5123" max="5123" width="1.44140625" customWidth="1"/>
    <col min="5124" max="5125" width="4.6640625" customWidth="1"/>
    <col min="5126" max="5126" width="67.5546875" customWidth="1"/>
    <col min="5127" max="5129" width="0" hidden="1" customWidth="1"/>
    <col min="5130" max="5131" width="19" customWidth="1"/>
    <col min="5132" max="5132" width="10" customWidth="1"/>
    <col min="5133" max="5133" width="16.33203125" customWidth="1"/>
    <col min="5134" max="5134" width="11.6640625" bestFit="1" customWidth="1"/>
    <col min="5135" max="5135" width="12.5546875" bestFit="1" customWidth="1"/>
    <col min="5136" max="5136" width="9.88671875" bestFit="1" customWidth="1"/>
    <col min="5137" max="5138" width="16.5546875" customWidth="1"/>
    <col min="5376" max="5376" width="2.88671875" customWidth="1"/>
    <col min="5377" max="5378" width="3.88671875" customWidth="1"/>
    <col min="5379" max="5379" width="1.44140625" customWidth="1"/>
    <col min="5380" max="5381" width="4.6640625" customWidth="1"/>
    <col min="5382" max="5382" width="67.5546875" customWidth="1"/>
    <col min="5383" max="5385" width="0" hidden="1" customWidth="1"/>
    <col min="5386" max="5387" width="19" customWidth="1"/>
    <col min="5388" max="5388" width="10" customWidth="1"/>
    <col min="5389" max="5389" width="16.33203125" customWidth="1"/>
    <col min="5390" max="5390" width="11.6640625" bestFit="1" customWidth="1"/>
    <col min="5391" max="5391" width="12.5546875" bestFit="1" customWidth="1"/>
    <col min="5392" max="5392" width="9.88671875" bestFit="1" customWidth="1"/>
    <col min="5393" max="5394" width="16.5546875" customWidth="1"/>
    <col min="5632" max="5632" width="2.88671875" customWidth="1"/>
    <col min="5633" max="5634" width="3.88671875" customWidth="1"/>
    <col min="5635" max="5635" width="1.44140625" customWidth="1"/>
    <col min="5636" max="5637" width="4.6640625" customWidth="1"/>
    <col min="5638" max="5638" width="67.5546875" customWidth="1"/>
    <col min="5639" max="5641" width="0" hidden="1" customWidth="1"/>
    <col min="5642" max="5643" width="19" customWidth="1"/>
    <col min="5644" max="5644" width="10" customWidth="1"/>
    <col min="5645" max="5645" width="16.33203125" customWidth="1"/>
    <col min="5646" max="5646" width="11.6640625" bestFit="1" customWidth="1"/>
    <col min="5647" max="5647" width="12.5546875" bestFit="1" customWidth="1"/>
    <col min="5648" max="5648" width="9.88671875" bestFit="1" customWidth="1"/>
    <col min="5649" max="5650" width="16.5546875" customWidth="1"/>
    <col min="5888" max="5888" width="2.88671875" customWidth="1"/>
    <col min="5889" max="5890" width="3.88671875" customWidth="1"/>
    <col min="5891" max="5891" width="1.44140625" customWidth="1"/>
    <col min="5892" max="5893" width="4.6640625" customWidth="1"/>
    <col min="5894" max="5894" width="67.5546875" customWidth="1"/>
    <col min="5895" max="5897" width="0" hidden="1" customWidth="1"/>
    <col min="5898" max="5899" width="19" customWidth="1"/>
    <col min="5900" max="5900" width="10" customWidth="1"/>
    <col min="5901" max="5901" width="16.33203125" customWidth="1"/>
    <col min="5902" max="5902" width="11.6640625" bestFit="1" customWidth="1"/>
    <col min="5903" max="5903" width="12.5546875" bestFit="1" customWidth="1"/>
    <col min="5904" max="5904" width="9.88671875" bestFit="1" customWidth="1"/>
    <col min="5905" max="5906" width="16.5546875" customWidth="1"/>
    <col min="6144" max="6144" width="2.88671875" customWidth="1"/>
    <col min="6145" max="6146" width="3.88671875" customWidth="1"/>
    <col min="6147" max="6147" width="1.44140625" customWidth="1"/>
    <col min="6148" max="6149" width="4.6640625" customWidth="1"/>
    <col min="6150" max="6150" width="67.5546875" customWidth="1"/>
    <col min="6151" max="6153" width="0" hidden="1" customWidth="1"/>
    <col min="6154" max="6155" width="19" customWidth="1"/>
    <col min="6156" max="6156" width="10" customWidth="1"/>
    <col min="6157" max="6157" width="16.33203125" customWidth="1"/>
    <col min="6158" max="6158" width="11.6640625" bestFit="1" customWidth="1"/>
    <col min="6159" max="6159" width="12.5546875" bestFit="1" customWidth="1"/>
    <col min="6160" max="6160" width="9.88671875" bestFit="1" customWidth="1"/>
    <col min="6161" max="6162" width="16.5546875" customWidth="1"/>
    <col min="6400" max="6400" width="2.88671875" customWidth="1"/>
    <col min="6401" max="6402" width="3.88671875" customWidth="1"/>
    <col min="6403" max="6403" width="1.44140625" customWidth="1"/>
    <col min="6404" max="6405" width="4.6640625" customWidth="1"/>
    <col min="6406" max="6406" width="67.5546875" customWidth="1"/>
    <col min="6407" max="6409" width="0" hidden="1" customWidth="1"/>
    <col min="6410" max="6411" width="19" customWidth="1"/>
    <col min="6412" max="6412" width="10" customWidth="1"/>
    <col min="6413" max="6413" width="16.33203125" customWidth="1"/>
    <col min="6414" max="6414" width="11.6640625" bestFit="1" customWidth="1"/>
    <col min="6415" max="6415" width="12.5546875" bestFit="1" customWidth="1"/>
    <col min="6416" max="6416" width="9.88671875" bestFit="1" customWidth="1"/>
    <col min="6417" max="6418" width="16.5546875" customWidth="1"/>
    <col min="6656" max="6656" width="2.88671875" customWidth="1"/>
    <col min="6657" max="6658" width="3.88671875" customWidth="1"/>
    <col min="6659" max="6659" width="1.44140625" customWidth="1"/>
    <col min="6660" max="6661" width="4.6640625" customWidth="1"/>
    <col min="6662" max="6662" width="67.5546875" customWidth="1"/>
    <col min="6663" max="6665" width="0" hidden="1" customWidth="1"/>
    <col min="6666" max="6667" width="19" customWidth="1"/>
    <col min="6668" max="6668" width="10" customWidth="1"/>
    <col min="6669" max="6669" width="16.33203125" customWidth="1"/>
    <col min="6670" max="6670" width="11.6640625" bestFit="1" customWidth="1"/>
    <col min="6671" max="6671" width="12.5546875" bestFit="1" customWidth="1"/>
    <col min="6672" max="6672" width="9.88671875" bestFit="1" customWidth="1"/>
    <col min="6673" max="6674" width="16.5546875" customWidth="1"/>
    <col min="6912" max="6912" width="2.88671875" customWidth="1"/>
    <col min="6913" max="6914" width="3.88671875" customWidth="1"/>
    <col min="6915" max="6915" width="1.44140625" customWidth="1"/>
    <col min="6916" max="6917" width="4.6640625" customWidth="1"/>
    <col min="6918" max="6918" width="67.5546875" customWidth="1"/>
    <col min="6919" max="6921" width="0" hidden="1" customWidth="1"/>
    <col min="6922" max="6923" width="19" customWidth="1"/>
    <col min="6924" max="6924" width="10" customWidth="1"/>
    <col min="6925" max="6925" width="16.33203125" customWidth="1"/>
    <col min="6926" max="6926" width="11.6640625" bestFit="1" customWidth="1"/>
    <col min="6927" max="6927" width="12.5546875" bestFit="1" customWidth="1"/>
    <col min="6928" max="6928" width="9.88671875" bestFit="1" customWidth="1"/>
    <col min="6929" max="6930" width="16.5546875" customWidth="1"/>
    <col min="7168" max="7168" width="2.88671875" customWidth="1"/>
    <col min="7169" max="7170" width="3.88671875" customWidth="1"/>
    <col min="7171" max="7171" width="1.44140625" customWidth="1"/>
    <col min="7172" max="7173" width="4.6640625" customWidth="1"/>
    <col min="7174" max="7174" width="67.5546875" customWidth="1"/>
    <col min="7175" max="7177" width="0" hidden="1" customWidth="1"/>
    <col min="7178" max="7179" width="19" customWidth="1"/>
    <col min="7180" max="7180" width="10" customWidth="1"/>
    <col min="7181" max="7181" width="16.33203125" customWidth="1"/>
    <col min="7182" max="7182" width="11.6640625" bestFit="1" customWidth="1"/>
    <col min="7183" max="7183" width="12.5546875" bestFit="1" customWidth="1"/>
    <col min="7184" max="7184" width="9.88671875" bestFit="1" customWidth="1"/>
    <col min="7185" max="7186" width="16.5546875" customWidth="1"/>
    <col min="7424" max="7424" width="2.88671875" customWidth="1"/>
    <col min="7425" max="7426" width="3.88671875" customWidth="1"/>
    <col min="7427" max="7427" width="1.44140625" customWidth="1"/>
    <col min="7428" max="7429" width="4.6640625" customWidth="1"/>
    <col min="7430" max="7430" width="67.5546875" customWidth="1"/>
    <col min="7431" max="7433" width="0" hidden="1" customWidth="1"/>
    <col min="7434" max="7435" width="19" customWidth="1"/>
    <col min="7436" max="7436" width="10" customWidth="1"/>
    <col min="7437" max="7437" width="16.33203125" customWidth="1"/>
    <col min="7438" max="7438" width="11.6640625" bestFit="1" customWidth="1"/>
    <col min="7439" max="7439" width="12.5546875" bestFit="1" customWidth="1"/>
    <col min="7440" max="7440" width="9.88671875" bestFit="1" customWidth="1"/>
    <col min="7441" max="7442" width="16.5546875" customWidth="1"/>
    <col min="7680" max="7680" width="2.88671875" customWidth="1"/>
    <col min="7681" max="7682" width="3.88671875" customWidth="1"/>
    <col min="7683" max="7683" width="1.44140625" customWidth="1"/>
    <col min="7684" max="7685" width="4.6640625" customWidth="1"/>
    <col min="7686" max="7686" width="67.5546875" customWidth="1"/>
    <col min="7687" max="7689" width="0" hidden="1" customWidth="1"/>
    <col min="7690" max="7691" width="19" customWidth="1"/>
    <col min="7692" max="7692" width="10" customWidth="1"/>
    <col min="7693" max="7693" width="16.33203125" customWidth="1"/>
    <col min="7694" max="7694" width="11.6640625" bestFit="1" customWidth="1"/>
    <col min="7695" max="7695" width="12.5546875" bestFit="1" customWidth="1"/>
    <col min="7696" max="7696" width="9.88671875" bestFit="1" customWidth="1"/>
    <col min="7697" max="7698" width="16.5546875" customWidth="1"/>
    <col min="7936" max="7936" width="2.88671875" customWidth="1"/>
    <col min="7937" max="7938" width="3.88671875" customWidth="1"/>
    <col min="7939" max="7939" width="1.44140625" customWidth="1"/>
    <col min="7940" max="7941" width="4.6640625" customWidth="1"/>
    <col min="7942" max="7942" width="67.5546875" customWidth="1"/>
    <col min="7943" max="7945" width="0" hidden="1" customWidth="1"/>
    <col min="7946" max="7947" width="19" customWidth="1"/>
    <col min="7948" max="7948" width="10" customWidth="1"/>
    <col min="7949" max="7949" width="16.33203125" customWidth="1"/>
    <col min="7950" max="7950" width="11.6640625" bestFit="1" customWidth="1"/>
    <col min="7951" max="7951" width="12.5546875" bestFit="1" customWidth="1"/>
    <col min="7952" max="7952" width="9.88671875" bestFit="1" customWidth="1"/>
    <col min="7953" max="7954" width="16.5546875" customWidth="1"/>
    <col min="8192" max="8192" width="2.88671875" customWidth="1"/>
    <col min="8193" max="8194" width="3.88671875" customWidth="1"/>
    <col min="8195" max="8195" width="1.44140625" customWidth="1"/>
    <col min="8196" max="8197" width="4.6640625" customWidth="1"/>
    <col min="8198" max="8198" width="67.5546875" customWidth="1"/>
    <col min="8199" max="8201" width="0" hidden="1" customWidth="1"/>
    <col min="8202" max="8203" width="19" customWidth="1"/>
    <col min="8204" max="8204" width="10" customWidth="1"/>
    <col min="8205" max="8205" width="16.33203125" customWidth="1"/>
    <col min="8206" max="8206" width="11.6640625" bestFit="1" customWidth="1"/>
    <col min="8207" max="8207" width="12.5546875" bestFit="1" customWidth="1"/>
    <col min="8208" max="8208" width="9.88671875" bestFit="1" customWidth="1"/>
    <col min="8209" max="8210" width="16.5546875" customWidth="1"/>
    <col min="8448" max="8448" width="2.88671875" customWidth="1"/>
    <col min="8449" max="8450" width="3.88671875" customWidth="1"/>
    <col min="8451" max="8451" width="1.44140625" customWidth="1"/>
    <col min="8452" max="8453" width="4.6640625" customWidth="1"/>
    <col min="8454" max="8454" width="67.5546875" customWidth="1"/>
    <col min="8455" max="8457" width="0" hidden="1" customWidth="1"/>
    <col min="8458" max="8459" width="19" customWidth="1"/>
    <col min="8460" max="8460" width="10" customWidth="1"/>
    <col min="8461" max="8461" width="16.33203125" customWidth="1"/>
    <col min="8462" max="8462" width="11.6640625" bestFit="1" customWidth="1"/>
    <col min="8463" max="8463" width="12.5546875" bestFit="1" customWidth="1"/>
    <col min="8464" max="8464" width="9.88671875" bestFit="1" customWidth="1"/>
    <col min="8465" max="8466" width="16.5546875" customWidth="1"/>
    <col min="8704" max="8704" width="2.88671875" customWidth="1"/>
    <col min="8705" max="8706" width="3.88671875" customWidth="1"/>
    <col min="8707" max="8707" width="1.44140625" customWidth="1"/>
    <col min="8708" max="8709" width="4.6640625" customWidth="1"/>
    <col min="8710" max="8710" width="67.5546875" customWidth="1"/>
    <col min="8711" max="8713" width="0" hidden="1" customWidth="1"/>
    <col min="8714" max="8715" width="19" customWidth="1"/>
    <col min="8716" max="8716" width="10" customWidth="1"/>
    <col min="8717" max="8717" width="16.33203125" customWidth="1"/>
    <col min="8718" max="8718" width="11.6640625" bestFit="1" customWidth="1"/>
    <col min="8719" max="8719" width="12.5546875" bestFit="1" customWidth="1"/>
    <col min="8720" max="8720" width="9.88671875" bestFit="1" customWidth="1"/>
    <col min="8721" max="8722" width="16.5546875" customWidth="1"/>
    <col min="8960" max="8960" width="2.88671875" customWidth="1"/>
    <col min="8961" max="8962" width="3.88671875" customWidth="1"/>
    <col min="8963" max="8963" width="1.44140625" customWidth="1"/>
    <col min="8964" max="8965" width="4.6640625" customWidth="1"/>
    <col min="8966" max="8966" width="67.5546875" customWidth="1"/>
    <col min="8967" max="8969" width="0" hidden="1" customWidth="1"/>
    <col min="8970" max="8971" width="19" customWidth="1"/>
    <col min="8972" max="8972" width="10" customWidth="1"/>
    <col min="8973" max="8973" width="16.33203125" customWidth="1"/>
    <col min="8974" max="8974" width="11.6640625" bestFit="1" customWidth="1"/>
    <col min="8975" max="8975" width="12.5546875" bestFit="1" customWidth="1"/>
    <col min="8976" max="8976" width="9.88671875" bestFit="1" customWidth="1"/>
    <col min="8977" max="8978" width="16.5546875" customWidth="1"/>
    <col min="9216" max="9216" width="2.88671875" customWidth="1"/>
    <col min="9217" max="9218" width="3.88671875" customWidth="1"/>
    <col min="9219" max="9219" width="1.44140625" customWidth="1"/>
    <col min="9220" max="9221" width="4.6640625" customWidth="1"/>
    <col min="9222" max="9222" width="67.5546875" customWidth="1"/>
    <col min="9223" max="9225" width="0" hidden="1" customWidth="1"/>
    <col min="9226" max="9227" width="19" customWidth="1"/>
    <col min="9228" max="9228" width="10" customWidth="1"/>
    <col min="9229" max="9229" width="16.33203125" customWidth="1"/>
    <col min="9230" max="9230" width="11.6640625" bestFit="1" customWidth="1"/>
    <col min="9231" max="9231" width="12.5546875" bestFit="1" customWidth="1"/>
    <col min="9232" max="9232" width="9.88671875" bestFit="1" customWidth="1"/>
    <col min="9233" max="9234" width="16.5546875" customWidth="1"/>
    <col min="9472" max="9472" width="2.88671875" customWidth="1"/>
    <col min="9473" max="9474" width="3.88671875" customWidth="1"/>
    <col min="9475" max="9475" width="1.44140625" customWidth="1"/>
    <col min="9476" max="9477" width="4.6640625" customWidth="1"/>
    <col min="9478" max="9478" width="67.5546875" customWidth="1"/>
    <col min="9479" max="9481" width="0" hidden="1" customWidth="1"/>
    <col min="9482" max="9483" width="19" customWidth="1"/>
    <col min="9484" max="9484" width="10" customWidth="1"/>
    <col min="9485" max="9485" width="16.33203125" customWidth="1"/>
    <col min="9486" max="9486" width="11.6640625" bestFit="1" customWidth="1"/>
    <col min="9487" max="9487" width="12.5546875" bestFit="1" customWidth="1"/>
    <col min="9488" max="9488" width="9.88671875" bestFit="1" customWidth="1"/>
    <col min="9489" max="9490" width="16.5546875" customWidth="1"/>
    <col min="9728" max="9728" width="2.88671875" customWidth="1"/>
    <col min="9729" max="9730" width="3.88671875" customWidth="1"/>
    <col min="9731" max="9731" width="1.44140625" customWidth="1"/>
    <col min="9732" max="9733" width="4.6640625" customWidth="1"/>
    <col min="9734" max="9734" width="67.5546875" customWidth="1"/>
    <col min="9735" max="9737" width="0" hidden="1" customWidth="1"/>
    <col min="9738" max="9739" width="19" customWidth="1"/>
    <col min="9740" max="9740" width="10" customWidth="1"/>
    <col min="9741" max="9741" width="16.33203125" customWidth="1"/>
    <col min="9742" max="9742" width="11.6640625" bestFit="1" customWidth="1"/>
    <col min="9743" max="9743" width="12.5546875" bestFit="1" customWidth="1"/>
    <col min="9744" max="9744" width="9.88671875" bestFit="1" customWidth="1"/>
    <col min="9745" max="9746" width="16.5546875" customWidth="1"/>
    <col min="9984" max="9984" width="2.88671875" customWidth="1"/>
    <col min="9985" max="9986" width="3.88671875" customWidth="1"/>
    <col min="9987" max="9987" width="1.44140625" customWidth="1"/>
    <col min="9988" max="9989" width="4.6640625" customWidth="1"/>
    <col min="9990" max="9990" width="67.5546875" customWidth="1"/>
    <col min="9991" max="9993" width="0" hidden="1" customWidth="1"/>
    <col min="9994" max="9995" width="19" customWidth="1"/>
    <col min="9996" max="9996" width="10" customWidth="1"/>
    <col min="9997" max="9997" width="16.33203125" customWidth="1"/>
    <col min="9998" max="9998" width="11.6640625" bestFit="1" customWidth="1"/>
    <col min="9999" max="9999" width="12.5546875" bestFit="1" customWidth="1"/>
    <col min="10000" max="10000" width="9.88671875" bestFit="1" customWidth="1"/>
    <col min="10001" max="10002" width="16.5546875" customWidth="1"/>
    <col min="10240" max="10240" width="2.88671875" customWidth="1"/>
    <col min="10241" max="10242" width="3.88671875" customWidth="1"/>
    <col min="10243" max="10243" width="1.44140625" customWidth="1"/>
    <col min="10244" max="10245" width="4.6640625" customWidth="1"/>
    <col min="10246" max="10246" width="67.5546875" customWidth="1"/>
    <col min="10247" max="10249" width="0" hidden="1" customWidth="1"/>
    <col min="10250" max="10251" width="19" customWidth="1"/>
    <col min="10252" max="10252" width="10" customWidth="1"/>
    <col min="10253" max="10253" width="16.33203125" customWidth="1"/>
    <col min="10254" max="10254" width="11.6640625" bestFit="1" customWidth="1"/>
    <col min="10255" max="10255" width="12.5546875" bestFit="1" customWidth="1"/>
    <col min="10256" max="10256" width="9.88671875" bestFit="1" customWidth="1"/>
    <col min="10257" max="10258" width="16.5546875" customWidth="1"/>
    <col min="10496" max="10496" width="2.88671875" customWidth="1"/>
    <col min="10497" max="10498" width="3.88671875" customWidth="1"/>
    <col min="10499" max="10499" width="1.44140625" customWidth="1"/>
    <col min="10500" max="10501" width="4.6640625" customWidth="1"/>
    <col min="10502" max="10502" width="67.5546875" customWidth="1"/>
    <col min="10503" max="10505" width="0" hidden="1" customWidth="1"/>
    <col min="10506" max="10507" width="19" customWidth="1"/>
    <col min="10508" max="10508" width="10" customWidth="1"/>
    <col min="10509" max="10509" width="16.33203125" customWidth="1"/>
    <col min="10510" max="10510" width="11.6640625" bestFit="1" customWidth="1"/>
    <col min="10511" max="10511" width="12.5546875" bestFit="1" customWidth="1"/>
    <col min="10512" max="10512" width="9.88671875" bestFit="1" customWidth="1"/>
    <col min="10513" max="10514" width="16.5546875" customWidth="1"/>
    <col min="10752" max="10752" width="2.88671875" customWidth="1"/>
    <col min="10753" max="10754" width="3.88671875" customWidth="1"/>
    <col min="10755" max="10755" width="1.44140625" customWidth="1"/>
    <col min="10756" max="10757" width="4.6640625" customWidth="1"/>
    <col min="10758" max="10758" width="67.5546875" customWidth="1"/>
    <col min="10759" max="10761" width="0" hidden="1" customWidth="1"/>
    <col min="10762" max="10763" width="19" customWidth="1"/>
    <col min="10764" max="10764" width="10" customWidth="1"/>
    <col min="10765" max="10765" width="16.33203125" customWidth="1"/>
    <col min="10766" max="10766" width="11.6640625" bestFit="1" customWidth="1"/>
    <col min="10767" max="10767" width="12.5546875" bestFit="1" customWidth="1"/>
    <col min="10768" max="10768" width="9.88671875" bestFit="1" customWidth="1"/>
    <col min="10769" max="10770" width="16.5546875" customWidth="1"/>
    <col min="11008" max="11008" width="2.88671875" customWidth="1"/>
    <col min="11009" max="11010" width="3.88671875" customWidth="1"/>
    <col min="11011" max="11011" width="1.44140625" customWidth="1"/>
    <col min="11012" max="11013" width="4.6640625" customWidth="1"/>
    <col min="11014" max="11014" width="67.5546875" customWidth="1"/>
    <col min="11015" max="11017" width="0" hidden="1" customWidth="1"/>
    <col min="11018" max="11019" width="19" customWidth="1"/>
    <col min="11020" max="11020" width="10" customWidth="1"/>
    <col min="11021" max="11021" width="16.33203125" customWidth="1"/>
    <col min="11022" max="11022" width="11.6640625" bestFit="1" customWidth="1"/>
    <col min="11023" max="11023" width="12.5546875" bestFit="1" customWidth="1"/>
    <col min="11024" max="11024" width="9.88671875" bestFit="1" customWidth="1"/>
    <col min="11025" max="11026" width="16.5546875" customWidth="1"/>
    <col min="11264" max="11264" width="2.88671875" customWidth="1"/>
    <col min="11265" max="11266" width="3.88671875" customWidth="1"/>
    <col min="11267" max="11267" width="1.44140625" customWidth="1"/>
    <col min="11268" max="11269" width="4.6640625" customWidth="1"/>
    <col min="11270" max="11270" width="67.5546875" customWidth="1"/>
    <col min="11271" max="11273" width="0" hidden="1" customWidth="1"/>
    <col min="11274" max="11275" width="19" customWidth="1"/>
    <col min="11276" max="11276" width="10" customWidth="1"/>
    <col min="11277" max="11277" width="16.33203125" customWidth="1"/>
    <col min="11278" max="11278" width="11.6640625" bestFit="1" customWidth="1"/>
    <col min="11279" max="11279" width="12.5546875" bestFit="1" customWidth="1"/>
    <col min="11280" max="11280" width="9.88671875" bestFit="1" customWidth="1"/>
    <col min="11281" max="11282" width="16.5546875" customWidth="1"/>
    <col min="11520" max="11520" width="2.88671875" customWidth="1"/>
    <col min="11521" max="11522" width="3.88671875" customWidth="1"/>
    <col min="11523" max="11523" width="1.44140625" customWidth="1"/>
    <col min="11524" max="11525" width="4.6640625" customWidth="1"/>
    <col min="11526" max="11526" width="67.5546875" customWidth="1"/>
    <col min="11527" max="11529" width="0" hidden="1" customWidth="1"/>
    <col min="11530" max="11531" width="19" customWidth="1"/>
    <col min="11532" max="11532" width="10" customWidth="1"/>
    <col min="11533" max="11533" width="16.33203125" customWidth="1"/>
    <col min="11534" max="11534" width="11.6640625" bestFit="1" customWidth="1"/>
    <col min="11535" max="11535" width="12.5546875" bestFit="1" customWidth="1"/>
    <col min="11536" max="11536" width="9.88671875" bestFit="1" customWidth="1"/>
    <col min="11537" max="11538" width="16.5546875" customWidth="1"/>
    <col min="11776" max="11776" width="2.88671875" customWidth="1"/>
    <col min="11777" max="11778" width="3.88671875" customWidth="1"/>
    <col min="11779" max="11779" width="1.44140625" customWidth="1"/>
    <col min="11780" max="11781" width="4.6640625" customWidth="1"/>
    <col min="11782" max="11782" width="67.5546875" customWidth="1"/>
    <col min="11783" max="11785" width="0" hidden="1" customWidth="1"/>
    <col min="11786" max="11787" width="19" customWidth="1"/>
    <col min="11788" max="11788" width="10" customWidth="1"/>
    <col min="11789" max="11789" width="16.33203125" customWidth="1"/>
    <col min="11790" max="11790" width="11.6640625" bestFit="1" customWidth="1"/>
    <col min="11791" max="11791" width="12.5546875" bestFit="1" customWidth="1"/>
    <col min="11792" max="11792" width="9.88671875" bestFit="1" customWidth="1"/>
    <col min="11793" max="11794" width="16.5546875" customWidth="1"/>
    <col min="12032" max="12032" width="2.88671875" customWidth="1"/>
    <col min="12033" max="12034" width="3.88671875" customWidth="1"/>
    <col min="12035" max="12035" width="1.44140625" customWidth="1"/>
    <col min="12036" max="12037" width="4.6640625" customWidth="1"/>
    <col min="12038" max="12038" width="67.5546875" customWidth="1"/>
    <col min="12039" max="12041" width="0" hidden="1" customWidth="1"/>
    <col min="12042" max="12043" width="19" customWidth="1"/>
    <col min="12044" max="12044" width="10" customWidth="1"/>
    <col min="12045" max="12045" width="16.33203125" customWidth="1"/>
    <col min="12046" max="12046" width="11.6640625" bestFit="1" customWidth="1"/>
    <col min="12047" max="12047" width="12.5546875" bestFit="1" customWidth="1"/>
    <col min="12048" max="12048" width="9.88671875" bestFit="1" customWidth="1"/>
    <col min="12049" max="12050" width="16.5546875" customWidth="1"/>
    <col min="12288" max="12288" width="2.88671875" customWidth="1"/>
    <col min="12289" max="12290" width="3.88671875" customWidth="1"/>
    <col min="12291" max="12291" width="1.44140625" customWidth="1"/>
    <col min="12292" max="12293" width="4.6640625" customWidth="1"/>
    <col min="12294" max="12294" width="67.5546875" customWidth="1"/>
    <col min="12295" max="12297" width="0" hidden="1" customWidth="1"/>
    <col min="12298" max="12299" width="19" customWidth="1"/>
    <col min="12300" max="12300" width="10" customWidth="1"/>
    <col min="12301" max="12301" width="16.33203125" customWidth="1"/>
    <col min="12302" max="12302" width="11.6640625" bestFit="1" customWidth="1"/>
    <col min="12303" max="12303" width="12.5546875" bestFit="1" customWidth="1"/>
    <col min="12304" max="12304" width="9.88671875" bestFit="1" customWidth="1"/>
    <col min="12305" max="12306" width="16.5546875" customWidth="1"/>
    <col min="12544" max="12544" width="2.88671875" customWidth="1"/>
    <col min="12545" max="12546" width="3.88671875" customWidth="1"/>
    <col min="12547" max="12547" width="1.44140625" customWidth="1"/>
    <col min="12548" max="12549" width="4.6640625" customWidth="1"/>
    <col min="12550" max="12550" width="67.5546875" customWidth="1"/>
    <col min="12551" max="12553" width="0" hidden="1" customWidth="1"/>
    <col min="12554" max="12555" width="19" customWidth="1"/>
    <col min="12556" max="12556" width="10" customWidth="1"/>
    <col min="12557" max="12557" width="16.33203125" customWidth="1"/>
    <col min="12558" max="12558" width="11.6640625" bestFit="1" customWidth="1"/>
    <col min="12559" max="12559" width="12.5546875" bestFit="1" customWidth="1"/>
    <col min="12560" max="12560" width="9.88671875" bestFit="1" customWidth="1"/>
    <col min="12561" max="12562" width="16.5546875" customWidth="1"/>
    <col min="12800" max="12800" width="2.88671875" customWidth="1"/>
    <col min="12801" max="12802" width="3.88671875" customWidth="1"/>
    <col min="12803" max="12803" width="1.44140625" customWidth="1"/>
    <col min="12804" max="12805" width="4.6640625" customWidth="1"/>
    <col min="12806" max="12806" width="67.5546875" customWidth="1"/>
    <col min="12807" max="12809" width="0" hidden="1" customWidth="1"/>
    <col min="12810" max="12811" width="19" customWidth="1"/>
    <col min="12812" max="12812" width="10" customWidth="1"/>
    <col min="12813" max="12813" width="16.33203125" customWidth="1"/>
    <col min="12814" max="12814" width="11.6640625" bestFit="1" customWidth="1"/>
    <col min="12815" max="12815" width="12.5546875" bestFit="1" customWidth="1"/>
    <col min="12816" max="12816" width="9.88671875" bestFit="1" customWidth="1"/>
    <col min="12817" max="12818" width="16.5546875" customWidth="1"/>
    <col min="13056" max="13056" width="2.88671875" customWidth="1"/>
    <col min="13057" max="13058" width="3.88671875" customWidth="1"/>
    <col min="13059" max="13059" width="1.44140625" customWidth="1"/>
    <col min="13060" max="13061" width="4.6640625" customWidth="1"/>
    <col min="13062" max="13062" width="67.5546875" customWidth="1"/>
    <col min="13063" max="13065" width="0" hidden="1" customWidth="1"/>
    <col min="13066" max="13067" width="19" customWidth="1"/>
    <col min="13068" max="13068" width="10" customWidth="1"/>
    <col min="13069" max="13069" width="16.33203125" customWidth="1"/>
    <col min="13070" max="13070" width="11.6640625" bestFit="1" customWidth="1"/>
    <col min="13071" max="13071" width="12.5546875" bestFit="1" customWidth="1"/>
    <col min="13072" max="13072" width="9.88671875" bestFit="1" customWidth="1"/>
    <col min="13073" max="13074" width="16.5546875" customWidth="1"/>
    <col min="13312" max="13312" width="2.88671875" customWidth="1"/>
    <col min="13313" max="13314" width="3.88671875" customWidth="1"/>
    <col min="13315" max="13315" width="1.44140625" customWidth="1"/>
    <col min="13316" max="13317" width="4.6640625" customWidth="1"/>
    <col min="13318" max="13318" width="67.5546875" customWidth="1"/>
    <col min="13319" max="13321" width="0" hidden="1" customWidth="1"/>
    <col min="13322" max="13323" width="19" customWidth="1"/>
    <col min="13324" max="13324" width="10" customWidth="1"/>
    <col min="13325" max="13325" width="16.33203125" customWidth="1"/>
    <col min="13326" max="13326" width="11.6640625" bestFit="1" customWidth="1"/>
    <col min="13327" max="13327" width="12.5546875" bestFit="1" customWidth="1"/>
    <col min="13328" max="13328" width="9.88671875" bestFit="1" customWidth="1"/>
    <col min="13329" max="13330" width="16.5546875" customWidth="1"/>
    <col min="13568" max="13568" width="2.88671875" customWidth="1"/>
    <col min="13569" max="13570" width="3.88671875" customWidth="1"/>
    <col min="13571" max="13571" width="1.44140625" customWidth="1"/>
    <col min="13572" max="13573" width="4.6640625" customWidth="1"/>
    <col min="13574" max="13574" width="67.5546875" customWidth="1"/>
    <col min="13575" max="13577" width="0" hidden="1" customWidth="1"/>
    <col min="13578" max="13579" width="19" customWidth="1"/>
    <col min="13580" max="13580" width="10" customWidth="1"/>
    <col min="13581" max="13581" width="16.33203125" customWidth="1"/>
    <col min="13582" max="13582" width="11.6640625" bestFit="1" customWidth="1"/>
    <col min="13583" max="13583" width="12.5546875" bestFit="1" customWidth="1"/>
    <col min="13584" max="13584" width="9.88671875" bestFit="1" customWidth="1"/>
    <col min="13585" max="13586" width="16.5546875" customWidth="1"/>
    <col min="13824" max="13824" width="2.88671875" customWidth="1"/>
    <col min="13825" max="13826" width="3.88671875" customWidth="1"/>
    <col min="13827" max="13827" width="1.44140625" customWidth="1"/>
    <col min="13828" max="13829" width="4.6640625" customWidth="1"/>
    <col min="13830" max="13830" width="67.5546875" customWidth="1"/>
    <col min="13831" max="13833" width="0" hidden="1" customWidth="1"/>
    <col min="13834" max="13835" width="19" customWidth="1"/>
    <col min="13836" max="13836" width="10" customWidth="1"/>
    <col min="13837" max="13837" width="16.33203125" customWidth="1"/>
    <col min="13838" max="13838" width="11.6640625" bestFit="1" customWidth="1"/>
    <col min="13839" max="13839" width="12.5546875" bestFit="1" customWidth="1"/>
    <col min="13840" max="13840" width="9.88671875" bestFit="1" customWidth="1"/>
    <col min="13841" max="13842" width="16.5546875" customWidth="1"/>
    <col min="14080" max="14080" width="2.88671875" customWidth="1"/>
    <col min="14081" max="14082" width="3.88671875" customWidth="1"/>
    <col min="14083" max="14083" width="1.44140625" customWidth="1"/>
    <col min="14084" max="14085" width="4.6640625" customWidth="1"/>
    <col min="14086" max="14086" width="67.5546875" customWidth="1"/>
    <col min="14087" max="14089" width="0" hidden="1" customWidth="1"/>
    <col min="14090" max="14091" width="19" customWidth="1"/>
    <col min="14092" max="14092" width="10" customWidth="1"/>
    <col min="14093" max="14093" width="16.33203125" customWidth="1"/>
    <col min="14094" max="14094" width="11.6640625" bestFit="1" customWidth="1"/>
    <col min="14095" max="14095" width="12.5546875" bestFit="1" customWidth="1"/>
    <col min="14096" max="14096" width="9.88671875" bestFit="1" customWidth="1"/>
    <col min="14097" max="14098" width="16.5546875" customWidth="1"/>
    <col min="14336" max="14336" width="2.88671875" customWidth="1"/>
    <col min="14337" max="14338" width="3.88671875" customWidth="1"/>
    <col min="14339" max="14339" width="1.44140625" customWidth="1"/>
    <col min="14340" max="14341" width="4.6640625" customWidth="1"/>
    <col min="14342" max="14342" width="67.5546875" customWidth="1"/>
    <col min="14343" max="14345" width="0" hidden="1" customWidth="1"/>
    <col min="14346" max="14347" width="19" customWidth="1"/>
    <col min="14348" max="14348" width="10" customWidth="1"/>
    <col min="14349" max="14349" width="16.33203125" customWidth="1"/>
    <col min="14350" max="14350" width="11.6640625" bestFit="1" customWidth="1"/>
    <col min="14351" max="14351" width="12.5546875" bestFit="1" customWidth="1"/>
    <col min="14352" max="14352" width="9.88671875" bestFit="1" customWidth="1"/>
    <col min="14353" max="14354" width="16.5546875" customWidth="1"/>
    <col min="14592" max="14592" width="2.88671875" customWidth="1"/>
    <col min="14593" max="14594" width="3.88671875" customWidth="1"/>
    <col min="14595" max="14595" width="1.44140625" customWidth="1"/>
    <col min="14596" max="14597" width="4.6640625" customWidth="1"/>
    <col min="14598" max="14598" width="67.5546875" customWidth="1"/>
    <col min="14599" max="14601" width="0" hidden="1" customWidth="1"/>
    <col min="14602" max="14603" width="19" customWidth="1"/>
    <col min="14604" max="14604" width="10" customWidth="1"/>
    <col min="14605" max="14605" width="16.33203125" customWidth="1"/>
    <col min="14606" max="14606" width="11.6640625" bestFit="1" customWidth="1"/>
    <col min="14607" max="14607" width="12.5546875" bestFit="1" customWidth="1"/>
    <col min="14608" max="14608" width="9.88671875" bestFit="1" customWidth="1"/>
    <col min="14609" max="14610" width="16.5546875" customWidth="1"/>
    <col min="14848" max="14848" width="2.88671875" customWidth="1"/>
    <col min="14849" max="14850" width="3.88671875" customWidth="1"/>
    <col min="14851" max="14851" width="1.44140625" customWidth="1"/>
    <col min="14852" max="14853" width="4.6640625" customWidth="1"/>
    <col min="14854" max="14854" width="67.5546875" customWidth="1"/>
    <col min="14855" max="14857" width="0" hidden="1" customWidth="1"/>
    <col min="14858" max="14859" width="19" customWidth="1"/>
    <col min="14860" max="14860" width="10" customWidth="1"/>
    <col min="14861" max="14861" width="16.33203125" customWidth="1"/>
    <col min="14862" max="14862" width="11.6640625" bestFit="1" customWidth="1"/>
    <col min="14863" max="14863" width="12.5546875" bestFit="1" customWidth="1"/>
    <col min="14864" max="14864" width="9.88671875" bestFit="1" customWidth="1"/>
    <col min="14865" max="14866" width="16.5546875" customWidth="1"/>
    <col min="15104" max="15104" width="2.88671875" customWidth="1"/>
    <col min="15105" max="15106" width="3.88671875" customWidth="1"/>
    <col min="15107" max="15107" width="1.44140625" customWidth="1"/>
    <col min="15108" max="15109" width="4.6640625" customWidth="1"/>
    <col min="15110" max="15110" width="67.5546875" customWidth="1"/>
    <col min="15111" max="15113" width="0" hidden="1" customWidth="1"/>
    <col min="15114" max="15115" width="19" customWidth="1"/>
    <col min="15116" max="15116" width="10" customWidth="1"/>
    <col min="15117" max="15117" width="16.33203125" customWidth="1"/>
    <col min="15118" max="15118" width="11.6640625" bestFit="1" customWidth="1"/>
    <col min="15119" max="15119" width="12.5546875" bestFit="1" customWidth="1"/>
    <col min="15120" max="15120" width="9.88671875" bestFit="1" customWidth="1"/>
    <col min="15121" max="15122" width="16.5546875" customWidth="1"/>
    <col min="15360" max="15360" width="2.88671875" customWidth="1"/>
    <col min="15361" max="15362" width="3.88671875" customWidth="1"/>
    <col min="15363" max="15363" width="1.44140625" customWidth="1"/>
    <col min="15364" max="15365" width="4.6640625" customWidth="1"/>
    <col min="15366" max="15366" width="67.5546875" customWidth="1"/>
    <col min="15367" max="15369" width="0" hidden="1" customWidth="1"/>
    <col min="15370" max="15371" width="19" customWidth="1"/>
    <col min="15372" max="15372" width="10" customWidth="1"/>
    <col min="15373" max="15373" width="16.33203125" customWidth="1"/>
    <col min="15374" max="15374" width="11.6640625" bestFit="1" customWidth="1"/>
    <col min="15375" max="15375" width="12.5546875" bestFit="1" customWidth="1"/>
    <col min="15376" max="15376" width="9.88671875" bestFit="1" customWidth="1"/>
    <col min="15377" max="15378" width="16.5546875" customWidth="1"/>
    <col min="15616" max="15616" width="2.88671875" customWidth="1"/>
    <col min="15617" max="15618" width="3.88671875" customWidth="1"/>
    <col min="15619" max="15619" width="1.44140625" customWidth="1"/>
    <col min="15620" max="15621" width="4.6640625" customWidth="1"/>
    <col min="15622" max="15622" width="67.5546875" customWidth="1"/>
    <col min="15623" max="15625" width="0" hidden="1" customWidth="1"/>
    <col min="15626" max="15627" width="19" customWidth="1"/>
    <col min="15628" max="15628" width="10" customWidth="1"/>
    <col min="15629" max="15629" width="16.33203125" customWidth="1"/>
    <col min="15630" max="15630" width="11.6640625" bestFit="1" customWidth="1"/>
    <col min="15631" max="15631" width="12.5546875" bestFit="1" customWidth="1"/>
    <col min="15632" max="15632" width="9.88671875" bestFit="1" customWidth="1"/>
    <col min="15633" max="15634" width="16.5546875" customWidth="1"/>
    <col min="15872" max="15872" width="2.88671875" customWidth="1"/>
    <col min="15873" max="15874" width="3.88671875" customWidth="1"/>
    <col min="15875" max="15875" width="1.44140625" customWidth="1"/>
    <col min="15876" max="15877" width="4.6640625" customWidth="1"/>
    <col min="15878" max="15878" width="67.5546875" customWidth="1"/>
    <col min="15879" max="15881" width="0" hidden="1" customWidth="1"/>
    <col min="15882" max="15883" width="19" customWidth="1"/>
    <col min="15884" max="15884" width="10" customWidth="1"/>
    <col min="15885" max="15885" width="16.33203125" customWidth="1"/>
    <col min="15886" max="15886" width="11.6640625" bestFit="1" customWidth="1"/>
    <col min="15887" max="15887" width="12.5546875" bestFit="1" customWidth="1"/>
    <col min="15888" max="15888" width="9.88671875" bestFit="1" customWidth="1"/>
    <col min="15889" max="15890" width="16.5546875" customWidth="1"/>
    <col min="16128" max="16128" width="2.88671875" customWidth="1"/>
    <col min="16129" max="16130" width="3.88671875" customWidth="1"/>
    <col min="16131" max="16131" width="1.44140625" customWidth="1"/>
    <col min="16132" max="16133" width="4.6640625" customWidth="1"/>
    <col min="16134" max="16134" width="67.5546875" customWidth="1"/>
    <col min="16135" max="16137" width="0" hidden="1" customWidth="1"/>
    <col min="16138" max="16139" width="19" customWidth="1"/>
    <col min="16140" max="16140" width="10" customWidth="1"/>
    <col min="16141" max="16141" width="16.33203125" customWidth="1"/>
    <col min="16142" max="16142" width="11.6640625" bestFit="1" customWidth="1"/>
    <col min="16143" max="16143" width="12.5546875" bestFit="1" customWidth="1"/>
    <col min="16144" max="16144" width="9.88671875" bestFit="1" customWidth="1"/>
    <col min="16145" max="16146" width="16.5546875" customWidth="1"/>
  </cols>
  <sheetData>
    <row r="1" spans="1:18" x14ac:dyDescent="0.3">
      <c r="A1" s="202"/>
      <c r="B1" s="18"/>
      <c r="C1" s="18"/>
      <c r="D1" s="18"/>
      <c r="E1" s="18"/>
      <c r="F1" s="18" t="s">
        <v>0</v>
      </c>
      <c r="G1" s="19"/>
      <c r="H1" s="20"/>
      <c r="I1" s="21"/>
      <c r="J1" s="18"/>
      <c r="K1" s="18"/>
      <c r="L1" s="22"/>
      <c r="M1" s="23"/>
      <c r="N1" s="24"/>
    </row>
    <row r="2" spans="1:18" x14ac:dyDescent="0.3">
      <c r="J2" s="30"/>
      <c r="K2" s="30"/>
      <c r="L2" s="31"/>
      <c r="M2" s="32"/>
      <c r="N2" s="33"/>
    </row>
    <row r="3" spans="1:18" x14ac:dyDescent="0.3">
      <c r="F3" s="34" t="s">
        <v>28</v>
      </c>
      <c r="G3" s="35"/>
      <c r="H3" s="36"/>
      <c r="J3"/>
    </row>
    <row r="4" spans="1:18" x14ac:dyDescent="0.3">
      <c r="G4" s="39"/>
      <c r="H4" s="28" t="s">
        <v>29</v>
      </c>
      <c r="I4" s="40"/>
      <c r="J4" s="41"/>
      <c r="K4" s="42"/>
      <c r="L4" s="43" t="s">
        <v>30</v>
      </c>
      <c r="M4" s="41"/>
      <c r="N4" s="43" t="s">
        <v>30</v>
      </c>
      <c r="O4" s="41"/>
      <c r="P4" s="43" t="s">
        <v>30</v>
      </c>
    </row>
    <row r="5" spans="1:18" s="45" customFormat="1" x14ac:dyDescent="0.3">
      <c r="A5" s="146" t="s">
        <v>149</v>
      </c>
      <c r="B5" s="44"/>
      <c r="C5" s="44"/>
      <c r="D5" s="44"/>
      <c r="E5" s="44"/>
      <c r="G5" s="44">
        <v>2014</v>
      </c>
      <c r="H5" s="28" t="s">
        <v>31</v>
      </c>
      <c r="I5" s="46"/>
      <c r="J5" s="47" t="s">
        <v>32</v>
      </c>
      <c r="K5" s="47" t="s">
        <v>33</v>
      </c>
      <c r="L5" s="43" t="s">
        <v>34</v>
      </c>
      <c r="M5" s="47" t="s">
        <v>35</v>
      </c>
      <c r="N5" s="43" t="s">
        <v>36</v>
      </c>
      <c r="O5" s="47" t="s">
        <v>37</v>
      </c>
      <c r="P5" s="48" t="s">
        <v>38</v>
      </c>
    </row>
    <row r="6" spans="1:18" x14ac:dyDescent="0.3">
      <c r="G6" s="27" t="e">
        <f>G13+G8</f>
        <v>#REF!</v>
      </c>
      <c r="H6" s="27" t="e">
        <f>H13+H8</f>
        <v>#REF!</v>
      </c>
      <c r="J6" s="27"/>
      <c r="K6" s="27"/>
      <c r="L6" s="49"/>
      <c r="M6" s="27"/>
      <c r="N6" s="50"/>
    </row>
    <row r="7" spans="1:18" x14ac:dyDescent="0.3">
      <c r="B7" s="51" t="s">
        <v>39</v>
      </c>
      <c r="C7" s="51"/>
      <c r="D7" s="51"/>
      <c r="E7" s="51"/>
      <c r="F7" s="51"/>
      <c r="I7" s="52"/>
      <c r="K7" s="27"/>
      <c r="L7" s="49"/>
      <c r="M7" s="27"/>
      <c r="N7" s="50"/>
    </row>
    <row r="8" spans="1:18" x14ac:dyDescent="0.3">
      <c r="B8" s="53" t="s">
        <v>40</v>
      </c>
      <c r="C8" s="53"/>
      <c r="D8" s="53"/>
      <c r="E8" s="53"/>
      <c r="F8" s="53"/>
      <c r="G8" s="54">
        <f>G9</f>
        <v>100000</v>
      </c>
      <c r="H8" s="55" t="e">
        <f>#REF!/G8</f>
        <v>#REF!</v>
      </c>
      <c r="I8" s="52"/>
      <c r="J8" s="56">
        <f>+J9</f>
        <v>13300</v>
      </c>
      <c r="K8" s="56">
        <f>+K9</f>
        <v>13500</v>
      </c>
      <c r="L8" s="57">
        <f>+K8/J8-1</f>
        <v>1.5037593984962516E-2</v>
      </c>
      <c r="M8" s="56">
        <f>+M9</f>
        <v>14175</v>
      </c>
      <c r="N8" s="43">
        <f>+M8/K8-1</f>
        <v>5.0000000000000044E-2</v>
      </c>
      <c r="O8" s="56">
        <f>+O9</f>
        <v>14850</v>
      </c>
      <c r="P8" s="43">
        <f>+O8/M8-1</f>
        <v>4.7619047619047672E-2</v>
      </c>
    </row>
    <row r="9" spans="1:18" x14ac:dyDescent="0.3">
      <c r="A9" s="203"/>
      <c r="B9" s="53"/>
      <c r="C9" s="53" t="s">
        <v>42</v>
      </c>
      <c r="D9" s="53"/>
      <c r="E9" s="53"/>
      <c r="F9" s="53"/>
      <c r="G9" s="54">
        <f t="shared" ref="G9:H10" si="0">G10</f>
        <v>100000</v>
      </c>
      <c r="H9" s="55" t="e">
        <f t="shared" si="0"/>
        <v>#REF!</v>
      </c>
      <c r="I9" s="52"/>
      <c r="J9" s="27">
        <f t="shared" ref="J9:O10" si="1">+J10</f>
        <v>13300</v>
      </c>
      <c r="K9" s="27">
        <f t="shared" si="1"/>
        <v>13500</v>
      </c>
      <c r="L9" s="58">
        <f>+K9/J9-1</f>
        <v>1.5037593984962516E-2</v>
      </c>
      <c r="M9" s="27">
        <v>14175</v>
      </c>
      <c r="N9" s="69">
        <f>+M9/K9-1</f>
        <v>5.0000000000000044E-2</v>
      </c>
      <c r="O9" s="27">
        <v>14850</v>
      </c>
      <c r="P9" s="58">
        <f>+O9/M9-1</f>
        <v>4.7619047619047672E-2</v>
      </c>
    </row>
    <row r="10" spans="1:18" x14ac:dyDescent="0.3">
      <c r="A10" s="204"/>
      <c r="B10" s="60"/>
      <c r="C10" s="60"/>
      <c r="D10" s="60" t="s">
        <v>43</v>
      </c>
      <c r="E10" s="60"/>
      <c r="F10" s="59"/>
      <c r="G10" s="61">
        <f t="shared" si="0"/>
        <v>100000</v>
      </c>
      <c r="H10" s="62" t="e">
        <f t="shared" si="0"/>
        <v>#REF!</v>
      </c>
      <c r="I10" s="63"/>
      <c r="J10" s="64">
        <f t="shared" si="1"/>
        <v>13300</v>
      </c>
      <c r="K10" s="64">
        <f t="shared" si="1"/>
        <v>13500</v>
      </c>
      <c r="L10" s="65">
        <f>+K10/J10-1</f>
        <v>1.5037593984962516E-2</v>
      </c>
      <c r="M10" s="64">
        <f t="shared" si="1"/>
        <v>14175</v>
      </c>
      <c r="N10" s="71">
        <v>-2.0841472584507414E-3</v>
      </c>
      <c r="O10" s="64">
        <f t="shared" si="1"/>
        <v>14850</v>
      </c>
      <c r="P10" s="65">
        <v>-2.0841472584507414E-3</v>
      </c>
    </row>
    <row r="11" spans="1:18" x14ac:dyDescent="0.3">
      <c r="A11" s="147" t="s">
        <v>196</v>
      </c>
      <c r="E11" s="26" t="s">
        <v>150</v>
      </c>
      <c r="F11" s="67" t="s">
        <v>161</v>
      </c>
      <c r="G11" s="27">
        <v>100000</v>
      </c>
      <c r="H11" s="28" t="e">
        <f>#REF!/G11</f>
        <v>#REF!</v>
      </c>
      <c r="I11" s="52"/>
      <c r="J11" s="16">
        <v>13300</v>
      </c>
      <c r="K11" s="27">
        <v>13500</v>
      </c>
      <c r="L11" s="58">
        <f>+K11/J11-1</f>
        <v>1.5037593984962516E-2</v>
      </c>
      <c r="M11" s="27">
        <v>14175</v>
      </c>
      <c r="N11" s="69">
        <f>+M11/K11-1</f>
        <v>5.0000000000000044E-2</v>
      </c>
      <c r="O11" s="27">
        <v>14850</v>
      </c>
      <c r="P11" s="58">
        <f>+O11/M11-1</f>
        <v>4.7619047619047672E-2</v>
      </c>
    </row>
    <row r="12" spans="1:18" s="68" customFormat="1" ht="14.25" customHeight="1" x14ac:dyDescent="0.3">
      <c r="A12" s="149"/>
      <c r="B12" s="51" t="s">
        <v>44</v>
      </c>
      <c r="C12" s="51"/>
      <c r="D12" s="51"/>
      <c r="E12" s="51"/>
      <c r="F12" s="51"/>
      <c r="G12" s="27"/>
      <c r="H12" s="28"/>
      <c r="I12" s="52"/>
      <c r="J12" s="16"/>
      <c r="K12" s="27"/>
      <c r="L12" s="58"/>
      <c r="M12" s="27"/>
      <c r="N12" s="69"/>
      <c r="O12" s="27"/>
      <c r="P12" s="69"/>
      <c r="Q12" s="70"/>
      <c r="R12" s="70"/>
    </row>
    <row r="13" spans="1:18" x14ac:dyDescent="0.3">
      <c r="B13" s="53" t="s">
        <v>45</v>
      </c>
      <c r="C13" s="53"/>
      <c r="D13" s="53"/>
      <c r="E13" s="53"/>
      <c r="F13" s="53"/>
      <c r="G13" s="54" t="e">
        <f>G14+G50+G74+#REF!+G97+G105+G118+G130+G142+G149+G170+G187+G192+#REF!+G216</f>
        <v>#REF!</v>
      </c>
      <c r="H13" s="54" t="e">
        <f>H14+H51+H76+H83+H98+H108+H121+H133+H144+H151+H173+H188+H193+H198+H213</f>
        <v>#REF!</v>
      </c>
      <c r="I13" s="52"/>
      <c r="J13" s="56">
        <f>+J14+J51+J76+J83+J98+J108+J121+J133+J144+J151+J173+J188+J193+J198+J213</f>
        <v>2549303.6</v>
      </c>
      <c r="K13" s="56">
        <f>+K14+K51+K76+K83+K98+K108+K121+K133+K144+K151+K173+K188+K193+K198+K213</f>
        <v>3438600</v>
      </c>
      <c r="L13" s="57">
        <f t="shared" ref="L13:L20" si="2">+K13/J13-1</f>
        <v>0.34883895350871508</v>
      </c>
      <c r="M13" s="56">
        <f>+M14+M51+M76+M83+M98+M108+M121+M133+M144+M151+M173+M188+M193+M198+M213</f>
        <v>3319370</v>
      </c>
      <c r="N13" s="43">
        <f>+M13/K13-1</f>
        <v>-3.4673995230617094E-2</v>
      </c>
      <c r="O13" s="56">
        <f>+O14+O51+O76+O83+O98+O108+O121+O133+O144+O151+O173+O188+O193+O198+O213</f>
        <v>3299340</v>
      </c>
      <c r="P13" s="43">
        <f>+O13/M13-1</f>
        <v>-6.034277588819581E-3</v>
      </c>
    </row>
    <row r="14" spans="1:18" x14ac:dyDescent="0.3">
      <c r="A14" s="203"/>
      <c r="B14" s="53"/>
      <c r="C14" s="53" t="s">
        <v>46</v>
      </c>
      <c r="D14" s="53"/>
      <c r="E14" s="53"/>
      <c r="F14" s="53"/>
      <c r="G14" s="54" t="e">
        <f>G15+G29+G19+G23+G27+#REF!+G31+G37+G40+G42+G44+G46+#REF!</f>
        <v>#REF!</v>
      </c>
      <c r="H14" s="55" t="e">
        <f>#REF!/G14</f>
        <v>#REF!</v>
      </c>
      <c r="I14" s="52"/>
      <c r="J14" s="27">
        <f>+J15+J19+J23+J27+J29+J31+J34+J37+J40+J42+J44+J46+J48+J25</f>
        <v>683973.6</v>
      </c>
      <c r="K14" s="27">
        <f>+K15+K19+K23+K27+K29+K31+K34+K37+K40+K42+K44+K46+K48+K25+K21</f>
        <v>778900</v>
      </c>
      <c r="L14" s="58">
        <f t="shared" si="2"/>
        <v>0.13878664322716561</v>
      </c>
      <c r="M14" s="27">
        <f>+M15+M19+M23+M27+M29+M31+M34+M37+M40+M42+M44+M46+M48+M25</f>
        <v>584685</v>
      </c>
      <c r="N14" s="69">
        <f>+M14/K14-1</f>
        <v>-0.24934523045320323</v>
      </c>
      <c r="O14" s="27">
        <f>+O15+O19+O23+O27+O29+O31+O34+O37+O40+O42+O44+O46+O48+O25</f>
        <v>609670</v>
      </c>
      <c r="P14" s="58">
        <f>+O14/M14-1</f>
        <v>4.2732411469423637E-2</v>
      </c>
    </row>
    <row r="15" spans="1:18" x14ac:dyDescent="0.3">
      <c r="A15" s="204"/>
      <c r="B15" s="60"/>
      <c r="C15" s="60"/>
      <c r="D15" s="60" t="s">
        <v>47</v>
      </c>
      <c r="E15" s="60"/>
      <c r="F15" s="59"/>
      <c r="G15" s="61">
        <f>SUM(G16:G18)</f>
        <v>435000</v>
      </c>
      <c r="H15" s="62" t="e">
        <f>#REF!/G15</f>
        <v>#REF!</v>
      </c>
      <c r="I15" s="63"/>
      <c r="J15" s="61">
        <f>+SUM(J16:J18)</f>
        <v>168400</v>
      </c>
      <c r="K15" s="61">
        <f>+SUM(K16:K18)</f>
        <v>199500</v>
      </c>
      <c r="L15" s="65">
        <f t="shared" si="2"/>
        <v>0.1846793349168645</v>
      </c>
      <c r="M15" s="61">
        <f>+SUM(M16:M18)</f>
        <v>209475</v>
      </c>
      <c r="N15" s="71">
        <f>+M15/K15-1</f>
        <v>5.0000000000000044E-2</v>
      </c>
      <c r="O15" s="61">
        <f>+SUM(O16:O18)</f>
        <v>219450</v>
      </c>
      <c r="P15" s="71">
        <f>+O15/M15-1</f>
        <v>4.7619047619047672E-2</v>
      </c>
    </row>
    <row r="16" spans="1:18" x14ac:dyDescent="0.3">
      <c r="A16" s="147" t="s">
        <v>196</v>
      </c>
      <c r="E16" s="26" t="s">
        <v>151</v>
      </c>
      <c r="F16" s="67" t="s">
        <v>160</v>
      </c>
      <c r="G16" s="72">
        <v>400000</v>
      </c>
      <c r="H16" s="73" t="e">
        <f>#REF!/G16</f>
        <v>#REF!</v>
      </c>
      <c r="I16" s="52"/>
      <c r="J16" s="16">
        <v>81300</v>
      </c>
      <c r="K16" s="27">
        <v>110000</v>
      </c>
      <c r="L16" s="58">
        <f t="shared" si="2"/>
        <v>0.35301353013530146</v>
      </c>
      <c r="M16" s="27">
        <v>115500</v>
      </c>
      <c r="N16" s="69">
        <f t="shared" ref="N16:P26" si="3">+M16/K16-1</f>
        <v>5.0000000000000044E-2</v>
      </c>
      <c r="O16" s="27">
        <v>121000</v>
      </c>
      <c r="P16" s="58">
        <f t="shared" si="3"/>
        <v>4.7619047619047672E-2</v>
      </c>
    </row>
    <row r="17" spans="1:16" x14ac:dyDescent="0.3">
      <c r="A17" s="147" t="s">
        <v>196</v>
      </c>
      <c r="E17" s="26" t="s">
        <v>150</v>
      </c>
      <c r="F17" s="67" t="s">
        <v>161</v>
      </c>
      <c r="G17" s="74">
        <v>30000</v>
      </c>
      <c r="H17" s="73" t="e">
        <f>#REF!/G17</f>
        <v>#REF!</v>
      </c>
      <c r="I17" s="52"/>
      <c r="J17" s="16">
        <v>86100</v>
      </c>
      <c r="K17" s="27">
        <v>88500</v>
      </c>
      <c r="L17" s="58">
        <f t="shared" si="2"/>
        <v>2.7874564459930307E-2</v>
      </c>
      <c r="M17" s="27">
        <v>92925</v>
      </c>
      <c r="N17" s="69">
        <f t="shared" si="3"/>
        <v>5.0000000000000044E-2</v>
      </c>
      <c r="O17" s="27">
        <v>97350</v>
      </c>
      <c r="P17" s="58">
        <f t="shared" si="3"/>
        <v>4.7619047619047672E-2</v>
      </c>
    </row>
    <row r="18" spans="1:16" x14ac:dyDescent="0.3">
      <c r="A18" s="147" t="s">
        <v>196</v>
      </c>
      <c r="E18" s="26" t="s">
        <v>152</v>
      </c>
      <c r="F18" s="67" t="s">
        <v>162</v>
      </c>
      <c r="G18" s="74">
        <v>5000</v>
      </c>
      <c r="H18" s="73" t="e">
        <f>#REF!/G18</f>
        <v>#REF!</v>
      </c>
      <c r="I18" s="52"/>
      <c r="J18" s="29">
        <v>1000</v>
      </c>
      <c r="K18" s="27">
        <v>1000</v>
      </c>
      <c r="L18" s="58">
        <f t="shared" si="2"/>
        <v>0</v>
      </c>
      <c r="M18" s="27">
        <v>1050</v>
      </c>
      <c r="N18" s="69">
        <f t="shared" si="3"/>
        <v>5.0000000000000044E-2</v>
      </c>
      <c r="O18" s="27">
        <v>1100</v>
      </c>
      <c r="P18" s="58">
        <f t="shared" si="3"/>
        <v>4.7619047619047672E-2</v>
      </c>
    </row>
    <row r="19" spans="1:16" x14ac:dyDescent="0.3">
      <c r="A19" s="204"/>
      <c r="B19" s="60"/>
      <c r="C19" s="60"/>
      <c r="D19" s="60" t="s">
        <v>48</v>
      </c>
      <c r="E19" s="60"/>
      <c r="F19" s="59"/>
      <c r="G19" s="61">
        <f>SUM(G20)</f>
        <v>15000</v>
      </c>
      <c r="H19" s="75" t="e">
        <f>#REF!/G19</f>
        <v>#REF!</v>
      </c>
      <c r="I19" s="63"/>
      <c r="J19" s="64">
        <f>+J20</f>
        <v>2000</v>
      </c>
      <c r="K19" s="64">
        <f>+K20</f>
        <v>2000</v>
      </c>
      <c r="L19" s="65">
        <f t="shared" si="2"/>
        <v>0</v>
      </c>
      <c r="M19" s="64">
        <f>+M20</f>
        <v>2100</v>
      </c>
      <c r="N19" s="71">
        <f t="shared" si="3"/>
        <v>5.0000000000000044E-2</v>
      </c>
      <c r="O19" s="64">
        <f>+O20</f>
        <v>2200</v>
      </c>
      <c r="P19" s="71">
        <f t="shared" si="3"/>
        <v>4.7619047619047672E-2</v>
      </c>
    </row>
    <row r="20" spans="1:16" x14ac:dyDescent="0.3">
      <c r="A20" s="147" t="s">
        <v>196</v>
      </c>
      <c r="E20" s="26" t="s">
        <v>150</v>
      </c>
      <c r="F20" s="67" t="s">
        <v>161</v>
      </c>
      <c r="G20" s="76">
        <v>15000</v>
      </c>
      <c r="H20" s="73" t="e">
        <f>#REF!/G20</f>
        <v>#REF!</v>
      </c>
      <c r="I20" s="52"/>
      <c r="J20" s="76">
        <v>2000</v>
      </c>
      <c r="K20" s="27">
        <v>2000</v>
      </c>
      <c r="L20" s="58">
        <f t="shared" si="2"/>
        <v>0</v>
      </c>
      <c r="M20" s="27">
        <v>2100</v>
      </c>
      <c r="N20" s="69">
        <f t="shared" si="3"/>
        <v>5.0000000000000044E-2</v>
      </c>
      <c r="O20" s="27">
        <v>2200</v>
      </c>
      <c r="P20" s="58">
        <f t="shared" si="3"/>
        <v>4.7619047619047672E-2</v>
      </c>
    </row>
    <row r="21" spans="1:16" x14ac:dyDescent="0.3">
      <c r="A21" s="204"/>
      <c r="B21" s="60"/>
      <c r="C21" s="60"/>
      <c r="D21" s="60" t="s">
        <v>49</v>
      </c>
      <c r="E21" s="60"/>
      <c r="F21" s="59"/>
      <c r="G21" s="61">
        <f>SUM(G22)</f>
        <v>15000</v>
      </c>
      <c r="H21" s="75" t="e">
        <f>#REF!/G21</f>
        <v>#REF!</v>
      </c>
      <c r="I21" s="63"/>
      <c r="J21" s="64">
        <f>+J22</f>
        <v>0</v>
      </c>
      <c r="K21" s="64">
        <f>+K22</f>
        <v>53000</v>
      </c>
      <c r="L21" s="65"/>
      <c r="M21" s="64">
        <f>+M22</f>
        <v>0</v>
      </c>
      <c r="N21" s="71">
        <f t="shared" si="3"/>
        <v>-1</v>
      </c>
      <c r="O21" s="64">
        <f>+O22</f>
        <v>0</v>
      </c>
      <c r="P21" s="71"/>
    </row>
    <row r="22" spans="1:16" x14ac:dyDescent="0.3">
      <c r="A22" s="147" t="s">
        <v>196</v>
      </c>
      <c r="E22" s="26" t="s">
        <v>150</v>
      </c>
      <c r="F22" s="67" t="s">
        <v>161</v>
      </c>
      <c r="G22" s="76">
        <v>15000</v>
      </c>
      <c r="H22" s="73" t="e">
        <f>#REF!/G22</f>
        <v>#REF!</v>
      </c>
      <c r="I22" s="52"/>
      <c r="J22" s="76">
        <v>0</v>
      </c>
      <c r="K22" s="27">
        <v>53000</v>
      </c>
      <c r="L22" s="58"/>
      <c r="M22" s="27">
        <v>0</v>
      </c>
      <c r="N22" s="69">
        <f t="shared" si="3"/>
        <v>-1</v>
      </c>
      <c r="O22" s="27">
        <v>0</v>
      </c>
      <c r="P22" s="58"/>
    </row>
    <row r="23" spans="1:16" x14ac:dyDescent="0.3">
      <c r="A23" s="204"/>
      <c r="B23" s="60"/>
      <c r="C23" s="60"/>
      <c r="D23" s="60" t="s">
        <v>50</v>
      </c>
      <c r="E23" s="60"/>
      <c r="F23" s="59"/>
      <c r="G23" s="77">
        <f>SUM(G26)</f>
        <v>300000</v>
      </c>
      <c r="H23" s="78" t="e">
        <f>#REF!/G23</f>
        <v>#REF!</v>
      </c>
      <c r="I23" s="52"/>
      <c r="J23" s="64">
        <f>+J24</f>
        <v>27000</v>
      </c>
      <c r="K23" s="64">
        <f>+K24</f>
        <v>50000</v>
      </c>
      <c r="L23" s="65">
        <f t="shared" ref="L23:L50" si="4">+K23/J23-1</f>
        <v>0.85185185185185186</v>
      </c>
      <c r="M23" s="64">
        <f>+M24</f>
        <v>52500</v>
      </c>
      <c r="N23" s="71">
        <f t="shared" si="3"/>
        <v>5.0000000000000044E-2</v>
      </c>
      <c r="O23" s="64">
        <f>+O24</f>
        <v>55000</v>
      </c>
      <c r="P23" s="71">
        <f t="shared" si="3"/>
        <v>4.7619047619047672E-2</v>
      </c>
    </row>
    <row r="24" spans="1:16" ht="28.8" x14ac:dyDescent="0.3">
      <c r="A24" s="147" t="s">
        <v>197</v>
      </c>
      <c r="E24" s="26" t="s">
        <v>150</v>
      </c>
      <c r="F24" s="67" t="s">
        <v>161</v>
      </c>
      <c r="G24" s="76">
        <v>300000</v>
      </c>
      <c r="H24" s="73" t="e">
        <f>#REF!/G24</f>
        <v>#REF!</v>
      </c>
      <c r="I24" s="52"/>
      <c r="J24" s="29">
        <v>27000</v>
      </c>
      <c r="K24" s="27">
        <v>50000</v>
      </c>
      <c r="L24" s="58">
        <f t="shared" si="4"/>
        <v>0.85185185185185186</v>
      </c>
      <c r="M24" s="27">
        <v>52500</v>
      </c>
      <c r="N24" s="69">
        <f t="shared" si="3"/>
        <v>5.0000000000000044E-2</v>
      </c>
      <c r="O24" s="27">
        <v>55000</v>
      </c>
      <c r="P24" s="58">
        <f t="shared" si="3"/>
        <v>4.7619047619047672E-2</v>
      </c>
    </row>
    <row r="25" spans="1:16" x14ac:dyDescent="0.3">
      <c r="A25" s="205"/>
      <c r="B25" s="60"/>
      <c r="C25" s="60"/>
      <c r="D25" s="79" t="s">
        <v>51</v>
      </c>
      <c r="E25" s="79"/>
      <c r="F25" s="80"/>
      <c r="G25" s="76">
        <v>150000</v>
      </c>
      <c r="H25" s="73" t="e">
        <f>#REF!/G25</f>
        <v>#REF!</v>
      </c>
      <c r="I25" s="52"/>
      <c r="J25" s="64">
        <f t="shared" ref="J25:K25" si="5">+J26</f>
        <v>66361.399999999994</v>
      </c>
      <c r="K25" s="64">
        <f t="shared" si="5"/>
        <v>62200</v>
      </c>
      <c r="L25" s="65">
        <f t="shared" si="4"/>
        <v>-6.270814057569607E-2</v>
      </c>
      <c r="M25" s="81">
        <f>+M26</f>
        <v>62200</v>
      </c>
      <c r="N25" s="71">
        <f t="shared" si="3"/>
        <v>0</v>
      </c>
      <c r="O25" s="81">
        <f>+O26</f>
        <v>62200</v>
      </c>
      <c r="P25" s="71">
        <f t="shared" si="3"/>
        <v>0</v>
      </c>
    </row>
    <row r="26" spans="1:16" x14ac:dyDescent="0.3">
      <c r="A26" s="147" t="s">
        <v>196</v>
      </c>
      <c r="E26" s="26" t="s">
        <v>150</v>
      </c>
      <c r="F26" s="67" t="s">
        <v>161</v>
      </c>
      <c r="G26" s="76">
        <v>300000</v>
      </c>
      <c r="H26" s="73" t="e">
        <f>#REF!/G26</f>
        <v>#REF!</v>
      </c>
      <c r="I26" s="52"/>
      <c r="J26" s="29">
        <v>66361.399999999994</v>
      </c>
      <c r="K26" s="27">
        <v>62200</v>
      </c>
      <c r="L26" s="58">
        <f t="shared" si="4"/>
        <v>-6.270814057569607E-2</v>
      </c>
      <c r="M26" s="27">
        <v>62200</v>
      </c>
      <c r="N26" s="69">
        <f t="shared" si="3"/>
        <v>0</v>
      </c>
      <c r="O26" s="27">
        <v>62200</v>
      </c>
      <c r="P26" s="58">
        <f t="shared" si="3"/>
        <v>0</v>
      </c>
    </row>
    <row r="27" spans="1:16" x14ac:dyDescent="0.3">
      <c r="A27" s="204"/>
      <c r="B27" s="60"/>
      <c r="C27" s="60"/>
      <c r="D27" s="60" t="s">
        <v>176</v>
      </c>
      <c r="E27" s="60"/>
      <c r="F27" s="59"/>
      <c r="G27" s="77">
        <f>SUM(G28)</f>
        <v>50000</v>
      </c>
      <c r="H27" s="78" t="e">
        <f>#REF!/G27</f>
        <v>#REF!</v>
      </c>
      <c r="I27" s="52"/>
      <c r="J27" s="64">
        <f t="shared" ref="J27:K27" si="6">+J28</f>
        <v>4000</v>
      </c>
      <c r="K27" s="64">
        <f t="shared" si="6"/>
        <v>6000</v>
      </c>
      <c r="L27" s="65">
        <f t="shared" si="4"/>
        <v>0.5</v>
      </c>
      <c r="M27" s="81">
        <f>+M28</f>
        <v>6300</v>
      </c>
      <c r="N27" s="71">
        <f t="shared" ref="N27:P82" si="7">+M27/K27-1</f>
        <v>5.0000000000000044E-2</v>
      </c>
      <c r="O27" s="81">
        <f>+O28</f>
        <v>6600</v>
      </c>
      <c r="P27" s="71">
        <f t="shared" si="7"/>
        <v>4.7619047619047672E-2</v>
      </c>
    </row>
    <row r="28" spans="1:16" ht="28.8" x14ac:dyDescent="0.3">
      <c r="A28" s="147" t="s">
        <v>197</v>
      </c>
      <c r="E28" s="26" t="s">
        <v>150</v>
      </c>
      <c r="F28" s="67" t="s">
        <v>161</v>
      </c>
      <c r="G28" s="76">
        <v>50000</v>
      </c>
      <c r="H28" s="73" t="e">
        <f>#REF!/G28</f>
        <v>#REF!</v>
      </c>
      <c r="I28" s="52"/>
      <c r="J28" s="29">
        <v>4000</v>
      </c>
      <c r="K28" s="27">
        <v>6000</v>
      </c>
      <c r="L28" s="58">
        <f t="shared" si="4"/>
        <v>0.5</v>
      </c>
      <c r="M28" s="27">
        <v>6300</v>
      </c>
      <c r="N28" s="69">
        <f t="shared" si="7"/>
        <v>5.0000000000000044E-2</v>
      </c>
      <c r="O28" s="27">
        <v>6600</v>
      </c>
      <c r="P28" s="58">
        <f t="shared" si="7"/>
        <v>4.7619047619047672E-2</v>
      </c>
    </row>
    <row r="29" spans="1:16" x14ac:dyDescent="0.3">
      <c r="A29" s="204"/>
      <c r="B29" s="60"/>
      <c r="C29" s="60"/>
      <c r="D29" s="82" t="s">
        <v>52</v>
      </c>
      <c r="E29" s="82"/>
      <c r="F29" s="82"/>
      <c r="G29" s="83">
        <f>SUM(G30:G30)</f>
        <v>15000</v>
      </c>
      <c r="H29" s="78" t="e">
        <f>#REF!/G29</f>
        <v>#REF!</v>
      </c>
      <c r="I29" s="52"/>
      <c r="J29" s="81">
        <f t="shared" ref="J29:K29" si="8">+J30</f>
        <v>1500</v>
      </c>
      <c r="K29" s="81">
        <f t="shared" si="8"/>
        <v>3000</v>
      </c>
      <c r="L29" s="65">
        <f t="shared" si="4"/>
        <v>1</v>
      </c>
      <c r="M29" s="81">
        <f>+M30</f>
        <v>3150</v>
      </c>
      <c r="N29" s="71">
        <f t="shared" si="7"/>
        <v>5.0000000000000044E-2</v>
      </c>
      <c r="O29" s="81">
        <f>+O30</f>
        <v>3300</v>
      </c>
      <c r="P29" s="71">
        <f t="shared" si="7"/>
        <v>4.7619047619047672E-2</v>
      </c>
    </row>
    <row r="30" spans="1:16" ht="28.8" x14ac:dyDescent="0.3">
      <c r="A30" s="147" t="s">
        <v>197</v>
      </c>
      <c r="E30" s="26" t="s">
        <v>153</v>
      </c>
      <c r="F30" s="67" t="s">
        <v>168</v>
      </c>
      <c r="G30" s="76">
        <v>15000</v>
      </c>
      <c r="H30" s="73" t="e">
        <f>#REF!/G30</f>
        <v>#REF!</v>
      </c>
      <c r="I30" s="52"/>
      <c r="J30" s="29">
        <v>1500</v>
      </c>
      <c r="K30" s="27">
        <v>3000</v>
      </c>
      <c r="L30" s="58">
        <f t="shared" si="4"/>
        <v>1</v>
      </c>
      <c r="M30" s="27">
        <v>3150</v>
      </c>
      <c r="N30" s="69">
        <f t="shared" si="7"/>
        <v>5.0000000000000044E-2</v>
      </c>
      <c r="O30" s="27">
        <v>3300</v>
      </c>
      <c r="P30" s="58">
        <f t="shared" si="7"/>
        <v>4.7619047619047672E-2</v>
      </c>
    </row>
    <row r="31" spans="1:16" x14ac:dyDescent="0.3">
      <c r="A31" s="204"/>
      <c r="B31" s="60"/>
      <c r="C31" s="60"/>
      <c r="D31" s="82" t="s">
        <v>178</v>
      </c>
      <c r="E31" s="82"/>
      <c r="F31" s="82"/>
      <c r="G31" s="83">
        <f>SUM(G32:G33)</f>
        <v>540000</v>
      </c>
      <c r="H31" s="78" t="e">
        <f>#REF!/G31</f>
        <v>#REF!</v>
      </c>
      <c r="I31" s="52"/>
      <c r="J31" s="81">
        <f>+J32+J33</f>
        <v>53089.13</v>
      </c>
      <c r="K31" s="81">
        <f>+K32+K33</f>
        <v>26000</v>
      </c>
      <c r="L31" s="65">
        <f t="shared" si="4"/>
        <v>-0.51025756119943955</v>
      </c>
      <c r="M31" s="81">
        <f>+M32+M33</f>
        <v>0</v>
      </c>
      <c r="N31" s="71">
        <f t="shared" si="7"/>
        <v>-1</v>
      </c>
      <c r="O31" s="81">
        <f>+O32+O33</f>
        <v>0</v>
      </c>
      <c r="P31" s="71"/>
    </row>
    <row r="32" spans="1:16" ht="28.8" x14ac:dyDescent="0.3">
      <c r="A32" s="148" t="s">
        <v>199</v>
      </c>
      <c r="B32" s="84"/>
      <c r="E32" s="26" t="s">
        <v>152</v>
      </c>
      <c r="F32" s="67" t="s">
        <v>162</v>
      </c>
      <c r="G32" s="76">
        <v>90000</v>
      </c>
      <c r="H32" s="73" t="e">
        <f>#REF!/G32</f>
        <v>#REF!</v>
      </c>
      <c r="I32" s="52"/>
      <c r="J32" s="29">
        <v>2654.46</v>
      </c>
      <c r="K32" s="27">
        <v>1000</v>
      </c>
      <c r="L32" s="58">
        <f t="shared" si="4"/>
        <v>-0.62327554380175254</v>
      </c>
      <c r="M32" s="27">
        <v>0</v>
      </c>
      <c r="N32" s="69">
        <f t="shared" si="7"/>
        <v>-1</v>
      </c>
      <c r="O32" s="27">
        <v>0</v>
      </c>
      <c r="P32" s="58"/>
    </row>
    <row r="33" spans="1:18" s="85" customFormat="1" ht="27.75" customHeight="1" x14ac:dyDescent="0.3">
      <c r="A33" s="148" t="s">
        <v>204</v>
      </c>
      <c r="B33" s="84"/>
      <c r="C33" s="84"/>
      <c r="E33" s="26" t="s">
        <v>154</v>
      </c>
      <c r="F33" s="87" t="s">
        <v>169</v>
      </c>
      <c r="G33" s="88">
        <v>450000</v>
      </c>
      <c r="H33" s="89"/>
      <c r="I33" s="52"/>
      <c r="J33" s="29">
        <v>50434.67</v>
      </c>
      <c r="K33" s="27">
        <v>25000</v>
      </c>
      <c r="L33" s="58">
        <f t="shared" si="4"/>
        <v>-0.50430923806976424</v>
      </c>
      <c r="M33" s="27">
        <v>0</v>
      </c>
      <c r="N33" s="69">
        <f t="shared" si="7"/>
        <v>-1</v>
      </c>
      <c r="O33" s="27">
        <v>0</v>
      </c>
      <c r="P33" s="58"/>
      <c r="Q33" s="90"/>
      <c r="R33" s="90"/>
    </row>
    <row r="34" spans="1:18" x14ac:dyDescent="0.3">
      <c r="A34" s="204"/>
      <c r="B34" s="60"/>
      <c r="C34" s="60"/>
      <c r="D34" s="82" t="s">
        <v>170</v>
      </c>
      <c r="E34" s="82"/>
      <c r="F34" s="82"/>
      <c r="G34" s="83">
        <f>SUM(G37:G40)</f>
        <v>50000</v>
      </c>
      <c r="H34" s="78" t="e">
        <f>#REF!/G34</f>
        <v>#REF!</v>
      </c>
      <c r="I34" s="52"/>
      <c r="J34" s="81">
        <f>+J35+J36</f>
        <v>100000</v>
      </c>
      <c r="K34" s="81">
        <f>+K35+K36</f>
        <v>140000</v>
      </c>
      <c r="L34" s="65">
        <f t="shared" si="4"/>
        <v>0.39999999999999991</v>
      </c>
      <c r="M34" s="81">
        <f>+M35+M36</f>
        <v>0</v>
      </c>
      <c r="N34" s="71">
        <f t="shared" si="7"/>
        <v>-1</v>
      </c>
      <c r="O34" s="81">
        <f>+O35+O36</f>
        <v>0</v>
      </c>
      <c r="P34" s="71"/>
    </row>
    <row r="35" spans="1:18" ht="28.8" x14ac:dyDescent="0.3">
      <c r="A35" s="148" t="s">
        <v>199</v>
      </c>
      <c r="B35" s="84"/>
      <c r="E35" s="26" t="s">
        <v>152</v>
      </c>
      <c r="F35" s="67" t="s">
        <v>162</v>
      </c>
      <c r="G35" s="76">
        <v>90000</v>
      </c>
      <c r="H35" s="73" t="e">
        <f>#REF!/G35</f>
        <v>#REF!</v>
      </c>
      <c r="I35" s="52"/>
      <c r="J35" s="29">
        <v>5000</v>
      </c>
      <c r="K35" s="27">
        <v>10000</v>
      </c>
      <c r="L35" s="58">
        <f t="shared" si="4"/>
        <v>1</v>
      </c>
      <c r="M35" s="27">
        <v>0</v>
      </c>
      <c r="N35" s="69">
        <f t="shared" si="7"/>
        <v>-1</v>
      </c>
      <c r="O35" s="27">
        <v>0</v>
      </c>
      <c r="P35" s="58"/>
    </row>
    <row r="36" spans="1:18" s="85" customFormat="1" ht="27.75" customHeight="1" x14ac:dyDescent="0.3">
      <c r="A36" s="148" t="s">
        <v>204</v>
      </c>
      <c r="B36" s="84"/>
      <c r="C36" s="84"/>
      <c r="E36" s="26" t="s">
        <v>154</v>
      </c>
      <c r="F36" s="87" t="s">
        <v>169</v>
      </c>
      <c r="G36" s="88">
        <v>450000</v>
      </c>
      <c r="H36" s="89"/>
      <c r="I36" s="52"/>
      <c r="J36" s="29">
        <v>95000</v>
      </c>
      <c r="K36" s="27">
        <v>130000</v>
      </c>
      <c r="L36" s="58">
        <f t="shared" si="4"/>
        <v>0.36842105263157898</v>
      </c>
      <c r="M36" s="27">
        <v>0</v>
      </c>
      <c r="N36" s="69">
        <f t="shared" si="7"/>
        <v>-1</v>
      </c>
      <c r="O36" s="27">
        <v>0</v>
      </c>
      <c r="P36" s="58"/>
      <c r="Q36" s="90"/>
      <c r="R36" s="90"/>
    </row>
    <row r="37" spans="1:18" x14ac:dyDescent="0.3">
      <c r="A37" s="204"/>
      <c r="B37" s="60"/>
      <c r="C37" s="60"/>
      <c r="D37" s="82" t="s">
        <v>53</v>
      </c>
      <c r="E37" s="82"/>
      <c r="F37" s="82"/>
      <c r="G37" s="83">
        <f>SUM(G38:G38)</f>
        <v>15000</v>
      </c>
      <c r="H37" s="78" t="e">
        <f>#REF!/G37</f>
        <v>#REF!</v>
      </c>
      <c r="I37" s="52"/>
      <c r="J37" s="81">
        <f>+J38+J39</f>
        <v>213023.07</v>
      </c>
      <c r="K37" s="81">
        <f>+K38+K39</f>
        <v>150000</v>
      </c>
      <c r="L37" s="65">
        <f t="shared" si="4"/>
        <v>-0.29585091417563369</v>
      </c>
      <c r="M37" s="81">
        <f>+M38+M39</f>
        <v>157500</v>
      </c>
      <c r="N37" s="71">
        <f t="shared" si="7"/>
        <v>5.0000000000000044E-2</v>
      </c>
      <c r="O37" s="81">
        <f>+O38+O39</f>
        <v>165000.00000000003</v>
      </c>
      <c r="P37" s="71">
        <f t="shared" si="7"/>
        <v>4.7619047619047894E-2</v>
      </c>
    </row>
    <row r="38" spans="1:18" x14ac:dyDescent="0.3">
      <c r="A38" s="147" t="s">
        <v>196</v>
      </c>
      <c r="B38" s="84"/>
      <c r="E38" s="26" t="s">
        <v>150</v>
      </c>
      <c r="F38" s="67" t="s">
        <v>161</v>
      </c>
      <c r="G38" s="76">
        <v>15000</v>
      </c>
      <c r="H38" s="73" t="e">
        <f>#REF!/G38</f>
        <v>#REF!</v>
      </c>
      <c r="J38" s="29">
        <v>2000</v>
      </c>
      <c r="K38" s="27">
        <v>50000</v>
      </c>
      <c r="L38" s="58">
        <f t="shared" si="4"/>
        <v>24</v>
      </c>
      <c r="M38" s="27">
        <v>52500</v>
      </c>
      <c r="N38" s="69">
        <f t="shared" si="7"/>
        <v>5.0000000000000044E-2</v>
      </c>
      <c r="O38" s="27">
        <v>55000.000000000007</v>
      </c>
      <c r="P38" s="58">
        <f t="shared" si="7"/>
        <v>4.7619047619047672E-2</v>
      </c>
    </row>
    <row r="39" spans="1:18" ht="43.2" customHeight="1" x14ac:dyDescent="0.3">
      <c r="A39" s="148" t="s">
        <v>207</v>
      </c>
      <c r="B39" s="84"/>
      <c r="E39" s="26" t="s">
        <v>153</v>
      </c>
      <c r="F39" s="67" t="s">
        <v>168</v>
      </c>
      <c r="G39" s="76"/>
      <c r="H39" s="73"/>
      <c r="J39" s="29">
        <v>211023.07</v>
      </c>
      <c r="K39" s="27">
        <v>100000</v>
      </c>
      <c r="L39" s="58">
        <f t="shared" si="4"/>
        <v>-0.52611816328897121</v>
      </c>
      <c r="M39" s="27">
        <v>105000</v>
      </c>
      <c r="N39" s="69">
        <f t="shared" si="7"/>
        <v>5.0000000000000044E-2</v>
      </c>
      <c r="O39" s="27">
        <v>110000.00000000001</v>
      </c>
      <c r="P39" s="58">
        <f t="shared" si="7"/>
        <v>4.7619047619047672E-2</v>
      </c>
    </row>
    <row r="40" spans="1:18" x14ac:dyDescent="0.3">
      <c r="A40" s="204"/>
      <c r="B40" s="60"/>
      <c r="C40" s="60"/>
      <c r="D40" s="82" t="s">
        <v>54</v>
      </c>
      <c r="E40" s="82"/>
      <c r="F40" s="82"/>
      <c r="G40" s="83">
        <f>SUM(G41:G41)</f>
        <v>20000</v>
      </c>
      <c r="H40" s="78" t="e">
        <f>#REF!/G40</f>
        <v>#REF!</v>
      </c>
      <c r="I40" s="52"/>
      <c r="J40" s="64">
        <f>+J41</f>
        <v>1400</v>
      </c>
      <c r="K40" s="64">
        <f>+K41</f>
        <v>2700</v>
      </c>
      <c r="L40" s="65">
        <f t="shared" si="4"/>
        <v>0.9285714285714286</v>
      </c>
      <c r="M40" s="64">
        <f>+M41</f>
        <v>2835</v>
      </c>
      <c r="N40" s="71">
        <f t="shared" si="7"/>
        <v>5.0000000000000044E-2</v>
      </c>
      <c r="O40" s="64">
        <f>+O41</f>
        <v>2970</v>
      </c>
      <c r="P40" s="71">
        <f t="shared" si="7"/>
        <v>4.7619047619047672E-2</v>
      </c>
    </row>
    <row r="41" spans="1:18" x14ac:dyDescent="0.3">
      <c r="A41" s="149" t="s">
        <v>200</v>
      </c>
      <c r="B41" s="84"/>
      <c r="D41" s="66"/>
      <c r="E41" s="26" t="s">
        <v>155</v>
      </c>
      <c r="F41" s="67" t="s">
        <v>166</v>
      </c>
      <c r="G41" s="76">
        <v>20000</v>
      </c>
      <c r="H41" s="73" t="e">
        <f>#REF!/G41</f>
        <v>#REF!</v>
      </c>
      <c r="I41" s="52"/>
      <c r="J41" s="29">
        <v>1400</v>
      </c>
      <c r="K41" s="27">
        <v>2700</v>
      </c>
      <c r="L41" s="58">
        <f t="shared" si="4"/>
        <v>0.9285714285714286</v>
      </c>
      <c r="M41" s="27">
        <v>2835</v>
      </c>
      <c r="N41" s="69">
        <f t="shared" si="7"/>
        <v>5.0000000000000044E-2</v>
      </c>
      <c r="O41" s="27">
        <v>2970</v>
      </c>
      <c r="P41" s="58">
        <f t="shared" si="7"/>
        <v>4.7619047619047672E-2</v>
      </c>
    </row>
    <row r="42" spans="1:18" x14ac:dyDescent="0.3">
      <c r="A42" s="204"/>
      <c r="B42" s="60"/>
      <c r="C42" s="60"/>
      <c r="D42" s="82" t="s">
        <v>55</v>
      </c>
      <c r="E42" s="82"/>
      <c r="F42" s="82"/>
      <c r="G42" s="83">
        <f>SUM(G43:G43)</f>
        <v>0</v>
      </c>
      <c r="H42" s="91" t="s">
        <v>56</v>
      </c>
      <c r="I42" s="52"/>
      <c r="J42" s="64">
        <f>+J43</f>
        <v>15000</v>
      </c>
      <c r="K42" s="64">
        <f>+K43</f>
        <v>20000</v>
      </c>
      <c r="L42" s="65">
        <f t="shared" si="4"/>
        <v>0.33333333333333326</v>
      </c>
      <c r="M42" s="64">
        <f>+M43</f>
        <v>21000</v>
      </c>
      <c r="N42" s="71">
        <f t="shared" si="7"/>
        <v>5.0000000000000044E-2</v>
      </c>
      <c r="O42" s="64">
        <f>+O43</f>
        <v>22000</v>
      </c>
      <c r="P42" s="71">
        <f t="shared" si="7"/>
        <v>4.7619047619047672E-2</v>
      </c>
    </row>
    <row r="43" spans="1:18" x14ac:dyDescent="0.3">
      <c r="A43" s="147" t="s">
        <v>196</v>
      </c>
      <c r="B43" s="84"/>
      <c r="D43" s="66"/>
      <c r="E43" s="26" t="s">
        <v>150</v>
      </c>
      <c r="F43" s="67" t="s">
        <v>161</v>
      </c>
      <c r="G43" s="76">
        <v>0</v>
      </c>
      <c r="H43" s="89" t="s">
        <v>56</v>
      </c>
      <c r="I43" s="52"/>
      <c r="J43" s="29">
        <v>15000</v>
      </c>
      <c r="K43" s="27">
        <v>20000</v>
      </c>
      <c r="L43" s="58">
        <f t="shared" si="4"/>
        <v>0.33333333333333326</v>
      </c>
      <c r="M43" s="27">
        <v>21000</v>
      </c>
      <c r="N43" s="69">
        <f t="shared" si="7"/>
        <v>5.0000000000000044E-2</v>
      </c>
      <c r="O43" s="27">
        <v>22000</v>
      </c>
      <c r="P43" s="58">
        <f t="shared" si="7"/>
        <v>4.7619047619047672E-2</v>
      </c>
    </row>
    <row r="44" spans="1:18" x14ac:dyDescent="0.3">
      <c r="A44" s="204"/>
      <c r="B44" s="60"/>
      <c r="C44" s="60"/>
      <c r="D44" s="82" t="s">
        <v>57</v>
      </c>
      <c r="E44" s="82"/>
      <c r="F44" s="82"/>
      <c r="G44" s="83">
        <f>SUM(G45:G45)</f>
        <v>20000</v>
      </c>
      <c r="H44" s="91" t="s">
        <v>56</v>
      </c>
      <c r="I44" s="52"/>
      <c r="J44" s="64">
        <f>+J45</f>
        <v>800</v>
      </c>
      <c r="K44" s="64">
        <f>+K45</f>
        <v>1000</v>
      </c>
      <c r="L44" s="65">
        <f t="shared" si="4"/>
        <v>0.25</v>
      </c>
      <c r="M44" s="64">
        <f>+M45</f>
        <v>1050</v>
      </c>
      <c r="N44" s="71">
        <f t="shared" si="7"/>
        <v>5.0000000000000044E-2</v>
      </c>
      <c r="O44" s="64">
        <f>+O45</f>
        <v>1100</v>
      </c>
      <c r="P44" s="71">
        <f t="shared" si="7"/>
        <v>4.7619047619047672E-2</v>
      </c>
    </row>
    <row r="45" spans="1:18" x14ac:dyDescent="0.3">
      <c r="A45" s="149" t="s">
        <v>200</v>
      </c>
      <c r="B45" s="84"/>
      <c r="D45" s="66"/>
      <c r="E45" s="26" t="s">
        <v>155</v>
      </c>
      <c r="F45" s="67" t="s">
        <v>166</v>
      </c>
      <c r="G45" s="76">
        <v>20000</v>
      </c>
      <c r="H45" s="89" t="s">
        <v>56</v>
      </c>
      <c r="I45" s="52"/>
      <c r="J45" s="29">
        <v>800</v>
      </c>
      <c r="K45" s="27">
        <v>1000</v>
      </c>
      <c r="L45" s="58">
        <f t="shared" si="4"/>
        <v>0.25</v>
      </c>
      <c r="M45" s="27">
        <v>1050</v>
      </c>
      <c r="N45" s="69">
        <f t="shared" si="7"/>
        <v>5.0000000000000044E-2</v>
      </c>
      <c r="O45" s="27">
        <v>1100</v>
      </c>
      <c r="P45" s="58">
        <f t="shared" si="7"/>
        <v>4.7619047619047672E-2</v>
      </c>
    </row>
    <row r="46" spans="1:18" x14ac:dyDescent="0.3">
      <c r="A46" s="204"/>
      <c r="B46" s="60"/>
      <c r="C46" s="60"/>
      <c r="D46" s="82" t="s">
        <v>177</v>
      </c>
      <c r="E46" s="82"/>
      <c r="F46" s="82"/>
      <c r="G46" s="83">
        <f>SUM(G47:G47)</f>
        <v>0</v>
      </c>
      <c r="H46" s="78" t="e">
        <f>#REF!/G46</f>
        <v>#REF!</v>
      </c>
      <c r="I46" s="52"/>
      <c r="J46" s="64">
        <f>+J47</f>
        <v>1400</v>
      </c>
      <c r="K46" s="64">
        <f>+K47</f>
        <v>1500</v>
      </c>
      <c r="L46" s="65">
        <f t="shared" si="4"/>
        <v>7.1428571428571397E-2</v>
      </c>
      <c r="M46" s="64">
        <f>+M47</f>
        <v>1575</v>
      </c>
      <c r="N46" s="71">
        <f t="shared" si="7"/>
        <v>5.0000000000000044E-2</v>
      </c>
      <c r="O46" s="64">
        <f>+O47</f>
        <v>1650</v>
      </c>
      <c r="P46" s="71">
        <f t="shared" si="7"/>
        <v>4.7619047619047672E-2</v>
      </c>
    </row>
    <row r="47" spans="1:18" x14ac:dyDescent="0.3">
      <c r="A47" s="149" t="s">
        <v>200</v>
      </c>
      <c r="B47" s="84"/>
      <c r="D47" s="66"/>
      <c r="E47" s="26" t="s">
        <v>155</v>
      </c>
      <c r="F47" s="67" t="s">
        <v>166</v>
      </c>
      <c r="G47" s="76"/>
      <c r="H47" s="89"/>
      <c r="I47" s="52"/>
      <c r="J47" s="29">
        <v>1400</v>
      </c>
      <c r="K47" s="27">
        <v>1500</v>
      </c>
      <c r="L47" s="58">
        <f t="shared" si="4"/>
        <v>7.1428571428571397E-2</v>
      </c>
      <c r="M47" s="27">
        <v>1575</v>
      </c>
      <c r="N47" s="69">
        <f t="shared" si="7"/>
        <v>5.0000000000000044E-2</v>
      </c>
      <c r="O47" s="27">
        <v>1650</v>
      </c>
      <c r="P47" s="58">
        <f t="shared" si="7"/>
        <v>4.7619047619047672E-2</v>
      </c>
    </row>
    <row r="48" spans="1:18" s="25" customFormat="1" x14ac:dyDescent="0.3">
      <c r="A48" s="204"/>
      <c r="B48" s="60"/>
      <c r="C48" s="60"/>
      <c r="D48" s="82" t="s">
        <v>58</v>
      </c>
      <c r="E48" s="82"/>
      <c r="F48" s="82"/>
      <c r="G48" s="76"/>
      <c r="H48" s="89"/>
      <c r="I48" s="52"/>
      <c r="J48" s="64">
        <f>+SUM(J49:J50)</f>
        <v>30000</v>
      </c>
      <c r="K48" s="64">
        <f>+SUM(K49:K50)</f>
        <v>62000</v>
      </c>
      <c r="L48" s="65">
        <f>+K48/J48-1</f>
        <v>1.0666666666666669</v>
      </c>
      <c r="M48" s="64">
        <f>+SUM(M49:M50)</f>
        <v>65000</v>
      </c>
      <c r="N48" s="71">
        <f t="shared" si="7"/>
        <v>4.8387096774193505E-2</v>
      </c>
      <c r="O48" s="64">
        <f>+SUM(O49:O50)</f>
        <v>68200</v>
      </c>
      <c r="P48" s="71">
        <f t="shared" si="7"/>
        <v>4.9230769230769189E-2</v>
      </c>
    </row>
    <row r="49" spans="1:16" s="25" customFormat="1" x14ac:dyDescent="0.3">
      <c r="A49" s="147" t="s">
        <v>196</v>
      </c>
      <c r="B49" s="84"/>
      <c r="C49" s="26"/>
      <c r="D49" s="66"/>
      <c r="E49" s="26" t="s">
        <v>150</v>
      </c>
      <c r="F49" s="67" t="s">
        <v>161</v>
      </c>
      <c r="G49" s="92" t="e">
        <f>G50</f>
        <v>#REF!</v>
      </c>
      <c r="H49" s="93" t="e">
        <f>#REF!/G49</f>
        <v>#REF!</v>
      </c>
      <c r="I49" s="52"/>
      <c r="J49" s="29">
        <v>0</v>
      </c>
      <c r="K49" s="27">
        <v>32000</v>
      </c>
      <c r="L49" s="58"/>
      <c r="M49" s="27">
        <v>33500</v>
      </c>
      <c r="N49" s="69"/>
      <c r="O49" s="27">
        <v>35200</v>
      </c>
      <c r="P49" s="58"/>
    </row>
    <row r="50" spans="1:16" s="25" customFormat="1" x14ac:dyDescent="0.3">
      <c r="A50" s="147" t="s">
        <v>196</v>
      </c>
      <c r="B50" s="84"/>
      <c r="C50" s="26"/>
      <c r="D50" s="66"/>
      <c r="E50" s="26" t="s">
        <v>153</v>
      </c>
      <c r="F50" s="67" t="s">
        <v>168</v>
      </c>
      <c r="G50" s="94" t="e">
        <f>G53+G55+G57+G59+G51+G61+#REF!+G67+G69+G63+G65</f>
        <v>#REF!</v>
      </c>
      <c r="H50" s="95" t="e">
        <f>#REF!/G50</f>
        <v>#REF!</v>
      </c>
      <c r="I50" s="52"/>
      <c r="J50" s="29">
        <v>30000</v>
      </c>
      <c r="K50" s="27">
        <v>30000</v>
      </c>
      <c r="L50" s="58">
        <f t="shared" si="4"/>
        <v>0</v>
      </c>
      <c r="M50" s="27">
        <v>31500</v>
      </c>
      <c r="N50" s="69">
        <f t="shared" si="7"/>
        <v>5.0000000000000044E-2</v>
      </c>
      <c r="O50" s="27">
        <v>33000</v>
      </c>
      <c r="P50" s="58">
        <f t="shared" si="7"/>
        <v>4.7619047619047672E-2</v>
      </c>
    </row>
    <row r="51" spans="1:16" s="25" customFormat="1" x14ac:dyDescent="0.3">
      <c r="A51" s="203"/>
      <c r="B51" s="53"/>
      <c r="C51" s="53" t="s">
        <v>60</v>
      </c>
      <c r="D51" s="53"/>
      <c r="E51" s="53"/>
      <c r="F51" s="53"/>
      <c r="G51" s="96">
        <f>SUM(G52:G52)</f>
        <v>24000</v>
      </c>
      <c r="H51" s="91" t="e">
        <f>#REF!/G51</f>
        <v>#REF!</v>
      </c>
      <c r="I51" s="52"/>
      <c r="J51" s="27">
        <f>+J52+J54+J56+J58+J60+J62+J64+J66+J68+J70+J72+J74</f>
        <v>67530</v>
      </c>
      <c r="K51" s="27">
        <f>+K52+K54+K56+K58+K60+K62+K64+K66+K68+K70+K72+K74</f>
        <v>88400</v>
      </c>
      <c r="L51" s="58">
        <f t="shared" ref="L51:L103" si="9">+K51/J51-1</f>
        <v>0.30904783059381025</v>
      </c>
      <c r="M51" s="27">
        <f>+M52+M54+M56+M58+M60+M62+M64+M66+M68+M70+M72+M74</f>
        <v>92820</v>
      </c>
      <c r="N51" s="69">
        <f t="shared" si="7"/>
        <v>5.0000000000000044E-2</v>
      </c>
      <c r="O51" s="27">
        <f>+O52+O54+O56+O58+O60+O62+O64+O66+O68+O70+O72+O74</f>
        <v>97240</v>
      </c>
      <c r="P51" s="58">
        <f t="shared" si="7"/>
        <v>4.7619047619047672E-2</v>
      </c>
    </row>
    <row r="52" spans="1:16" s="25" customFormat="1" x14ac:dyDescent="0.3">
      <c r="A52" s="204"/>
      <c r="B52" s="60"/>
      <c r="C52" s="60"/>
      <c r="D52" s="79" t="s">
        <v>61</v>
      </c>
      <c r="E52" s="79"/>
      <c r="F52" s="80"/>
      <c r="G52" s="76">
        <v>24000</v>
      </c>
      <c r="H52" s="73" t="e">
        <f>#REF!/G52</f>
        <v>#REF!</v>
      </c>
      <c r="I52" s="52"/>
      <c r="J52" s="64">
        <f>+J53</f>
        <v>33200</v>
      </c>
      <c r="K52" s="64">
        <f>+K53</f>
        <v>50000</v>
      </c>
      <c r="L52" s="65">
        <f t="shared" si="9"/>
        <v>0.50602409638554224</v>
      </c>
      <c r="M52" s="64">
        <f>+M53</f>
        <v>52500</v>
      </c>
      <c r="N52" s="71">
        <f t="shared" si="7"/>
        <v>5.0000000000000044E-2</v>
      </c>
      <c r="O52" s="64">
        <f>+O53</f>
        <v>55000</v>
      </c>
      <c r="P52" s="71">
        <f t="shared" si="7"/>
        <v>4.7619047619047672E-2</v>
      </c>
    </row>
    <row r="53" spans="1:16" s="25" customFormat="1" x14ac:dyDescent="0.3">
      <c r="A53" s="149" t="s">
        <v>200</v>
      </c>
      <c r="B53" s="26"/>
      <c r="C53" s="26"/>
      <c r="D53" s="66"/>
      <c r="E53" s="26" t="s">
        <v>155</v>
      </c>
      <c r="F53" s="67" t="s">
        <v>166</v>
      </c>
      <c r="G53" s="96">
        <f>SUM(G54:G54)</f>
        <v>10000</v>
      </c>
      <c r="H53" s="78" t="e">
        <f>#REF!/G53</f>
        <v>#REF!</v>
      </c>
      <c r="I53" s="52"/>
      <c r="J53" s="16">
        <v>33200</v>
      </c>
      <c r="K53" s="27">
        <v>50000</v>
      </c>
      <c r="L53" s="58">
        <f t="shared" si="9"/>
        <v>0.50602409638554224</v>
      </c>
      <c r="M53" s="27">
        <v>52500</v>
      </c>
      <c r="N53" s="69">
        <f t="shared" si="7"/>
        <v>5.0000000000000044E-2</v>
      </c>
      <c r="O53" s="27">
        <v>55000</v>
      </c>
      <c r="P53" s="58">
        <f t="shared" si="7"/>
        <v>4.7619047619047672E-2</v>
      </c>
    </row>
    <row r="54" spans="1:16" x14ac:dyDescent="0.3">
      <c r="A54" s="204"/>
      <c r="B54" s="60"/>
      <c r="C54" s="60"/>
      <c r="D54" s="79" t="s">
        <v>62</v>
      </c>
      <c r="E54" s="79"/>
      <c r="F54" s="80"/>
      <c r="G54" s="76">
        <v>10000</v>
      </c>
      <c r="H54" s="73" t="e">
        <f>#REF!/G54</f>
        <v>#REF!</v>
      </c>
      <c r="I54" s="52"/>
      <c r="J54" s="64">
        <f>+J55</f>
        <v>3200</v>
      </c>
      <c r="K54" s="64">
        <f>+K55</f>
        <v>5000</v>
      </c>
      <c r="L54" s="65">
        <f t="shared" si="9"/>
        <v>0.5625</v>
      </c>
      <c r="M54" s="64">
        <f>+M55</f>
        <v>5250</v>
      </c>
      <c r="N54" s="71">
        <f t="shared" si="7"/>
        <v>5.0000000000000044E-2</v>
      </c>
      <c r="O54" s="64">
        <f>+O55</f>
        <v>5500</v>
      </c>
      <c r="P54" s="71">
        <f t="shared" si="7"/>
        <v>4.7619047619047672E-2</v>
      </c>
    </row>
    <row r="55" spans="1:16" x14ac:dyDescent="0.3">
      <c r="A55" s="149" t="s">
        <v>200</v>
      </c>
      <c r="D55" s="66"/>
      <c r="E55" s="26" t="s">
        <v>155</v>
      </c>
      <c r="F55" s="67" t="s">
        <v>166</v>
      </c>
      <c r="G55" s="96">
        <f>SUM(G56:G56)</f>
        <v>15000</v>
      </c>
      <c r="H55" s="78" t="e">
        <f>#REF!/G55</f>
        <v>#REF!</v>
      </c>
      <c r="I55" s="52"/>
      <c r="J55" s="16">
        <v>3200</v>
      </c>
      <c r="K55" s="27">
        <v>5000</v>
      </c>
      <c r="L55" s="58">
        <f t="shared" si="9"/>
        <v>0.5625</v>
      </c>
      <c r="M55" s="27">
        <v>5250</v>
      </c>
      <c r="N55" s="69">
        <f t="shared" si="7"/>
        <v>5.0000000000000044E-2</v>
      </c>
      <c r="O55" s="27">
        <v>5500</v>
      </c>
      <c r="P55" s="58">
        <f t="shared" si="7"/>
        <v>4.7619047619047672E-2</v>
      </c>
    </row>
    <row r="56" spans="1:16" x14ac:dyDescent="0.3">
      <c r="A56" s="205"/>
      <c r="B56" s="60"/>
      <c r="C56" s="60"/>
      <c r="D56" s="79" t="s">
        <v>63</v>
      </c>
      <c r="E56" s="79"/>
      <c r="F56" s="80"/>
      <c r="G56" s="76">
        <v>15000</v>
      </c>
      <c r="H56" s="73" t="e">
        <f>#REF!/G56</f>
        <v>#REF!</v>
      </c>
      <c r="I56" s="52"/>
      <c r="J56" s="64">
        <f>+J57</f>
        <v>1400</v>
      </c>
      <c r="K56" s="64">
        <f>+K57</f>
        <v>2000</v>
      </c>
      <c r="L56" s="65">
        <f t="shared" si="9"/>
        <v>0.4285714285714286</v>
      </c>
      <c r="M56" s="64">
        <f>+M57</f>
        <v>2100</v>
      </c>
      <c r="N56" s="71">
        <f t="shared" si="7"/>
        <v>5.0000000000000044E-2</v>
      </c>
      <c r="O56" s="64">
        <f>+O57</f>
        <v>2200</v>
      </c>
      <c r="P56" s="71">
        <f t="shared" si="7"/>
        <v>4.7619047619047672E-2</v>
      </c>
    </row>
    <row r="57" spans="1:16" x14ac:dyDescent="0.3">
      <c r="A57" s="149" t="s">
        <v>200</v>
      </c>
      <c r="D57" s="66"/>
      <c r="E57" s="26" t="s">
        <v>155</v>
      </c>
      <c r="F57" s="67" t="s">
        <v>166</v>
      </c>
      <c r="G57" s="96">
        <f>SUM(G58:G58)</f>
        <v>5000</v>
      </c>
      <c r="H57" s="78" t="e">
        <f>#REF!/G57</f>
        <v>#REF!</v>
      </c>
      <c r="I57" s="52"/>
      <c r="J57" s="16">
        <v>1400</v>
      </c>
      <c r="K57" s="27">
        <v>2000</v>
      </c>
      <c r="L57" s="58">
        <f t="shared" si="9"/>
        <v>0.4285714285714286</v>
      </c>
      <c r="M57" s="27">
        <v>2100</v>
      </c>
      <c r="N57" s="69">
        <f t="shared" si="7"/>
        <v>5.0000000000000044E-2</v>
      </c>
      <c r="O57" s="27">
        <v>2200</v>
      </c>
      <c r="P57" s="58">
        <f t="shared" si="7"/>
        <v>4.7619047619047672E-2</v>
      </c>
    </row>
    <row r="58" spans="1:16" x14ac:dyDescent="0.3">
      <c r="A58" s="205"/>
      <c r="B58" s="60"/>
      <c r="C58" s="60"/>
      <c r="D58" s="79" t="s">
        <v>64</v>
      </c>
      <c r="E58" s="79"/>
      <c r="F58" s="80"/>
      <c r="G58" s="76">
        <v>5000</v>
      </c>
      <c r="H58" s="73" t="e">
        <f>#REF!/G58</f>
        <v>#REF!</v>
      </c>
      <c r="I58" s="52"/>
      <c r="J58" s="64">
        <f>+J59</f>
        <v>2000</v>
      </c>
      <c r="K58" s="64">
        <f>+K59</f>
        <v>2000</v>
      </c>
      <c r="L58" s="65">
        <f t="shared" si="9"/>
        <v>0</v>
      </c>
      <c r="M58" s="64">
        <f>+M59</f>
        <v>2100</v>
      </c>
      <c r="N58" s="71">
        <f t="shared" si="7"/>
        <v>5.0000000000000044E-2</v>
      </c>
      <c r="O58" s="64">
        <f>+O59</f>
        <v>2200</v>
      </c>
      <c r="P58" s="71">
        <f t="shared" si="7"/>
        <v>4.7619047619047672E-2</v>
      </c>
    </row>
    <row r="59" spans="1:16" x14ac:dyDescent="0.3">
      <c r="A59" s="149" t="s">
        <v>200</v>
      </c>
      <c r="D59" s="66"/>
      <c r="E59" s="26" t="s">
        <v>155</v>
      </c>
      <c r="F59" s="67" t="s">
        <v>166</v>
      </c>
      <c r="G59" s="96">
        <f>SUM(G60:G60)</f>
        <v>4200</v>
      </c>
      <c r="H59" s="78" t="e">
        <f>#REF!/G59</f>
        <v>#REF!</v>
      </c>
      <c r="I59" s="52"/>
      <c r="J59" s="16">
        <v>2000</v>
      </c>
      <c r="K59" s="27">
        <v>2000</v>
      </c>
      <c r="L59" s="58">
        <f t="shared" si="9"/>
        <v>0</v>
      </c>
      <c r="M59" s="27">
        <v>2100</v>
      </c>
      <c r="N59" s="69">
        <f t="shared" si="7"/>
        <v>5.0000000000000044E-2</v>
      </c>
      <c r="O59" s="27">
        <v>2200</v>
      </c>
      <c r="P59" s="58">
        <f t="shared" si="7"/>
        <v>4.7619047619047672E-2</v>
      </c>
    </row>
    <row r="60" spans="1:16" x14ac:dyDescent="0.3">
      <c r="A60" s="205"/>
      <c r="B60" s="60"/>
      <c r="C60" s="60"/>
      <c r="D60" s="79" t="s">
        <v>65</v>
      </c>
      <c r="E60" s="79"/>
      <c r="F60" s="80"/>
      <c r="G60" s="76">
        <v>4200</v>
      </c>
      <c r="H60" s="73" t="e">
        <f>#REF!/G60</f>
        <v>#REF!</v>
      </c>
      <c r="I60" s="52"/>
      <c r="J60" s="64">
        <f>+J61</f>
        <v>5600</v>
      </c>
      <c r="K60" s="64">
        <f>+K61</f>
        <v>5000</v>
      </c>
      <c r="L60" s="65">
        <f t="shared" si="9"/>
        <v>-0.1071428571428571</v>
      </c>
      <c r="M60" s="64">
        <f>+M61</f>
        <v>5250</v>
      </c>
      <c r="N60" s="71">
        <f t="shared" si="7"/>
        <v>5.0000000000000044E-2</v>
      </c>
      <c r="O60" s="64">
        <f>+O61</f>
        <v>5500</v>
      </c>
      <c r="P60" s="71">
        <f t="shared" si="7"/>
        <v>4.7619047619047672E-2</v>
      </c>
    </row>
    <row r="61" spans="1:16" x14ac:dyDescent="0.3">
      <c r="A61" s="149" t="s">
        <v>200</v>
      </c>
      <c r="D61" s="66"/>
      <c r="E61" s="26" t="s">
        <v>155</v>
      </c>
      <c r="F61" s="67" t="s">
        <v>166</v>
      </c>
      <c r="G61" s="96">
        <f>SUM(G62:G62)</f>
        <v>2000</v>
      </c>
      <c r="H61" s="78" t="e">
        <f>#REF!/G61</f>
        <v>#REF!</v>
      </c>
      <c r="I61" s="52"/>
      <c r="J61" s="16">
        <v>5600</v>
      </c>
      <c r="K61" s="27">
        <v>5000</v>
      </c>
      <c r="L61" s="58">
        <f t="shared" si="9"/>
        <v>-0.1071428571428571</v>
      </c>
      <c r="M61" s="27">
        <v>5250</v>
      </c>
      <c r="N61" s="69">
        <f t="shared" si="7"/>
        <v>5.0000000000000044E-2</v>
      </c>
      <c r="O61" s="27">
        <v>5500</v>
      </c>
      <c r="P61" s="58">
        <f t="shared" si="7"/>
        <v>4.7619047619047672E-2</v>
      </c>
    </row>
    <row r="62" spans="1:16" x14ac:dyDescent="0.3">
      <c r="A62" s="205"/>
      <c r="B62" s="60"/>
      <c r="C62" s="60"/>
      <c r="D62" s="79" t="s">
        <v>66</v>
      </c>
      <c r="E62" s="79"/>
      <c r="F62" s="80"/>
      <c r="G62" s="76">
        <v>2000</v>
      </c>
      <c r="H62" s="73" t="e">
        <f>#REF!/G62</f>
        <v>#REF!</v>
      </c>
      <c r="I62" s="52"/>
      <c r="J62" s="64">
        <f>+J63</f>
        <v>660</v>
      </c>
      <c r="K62" s="64">
        <f>+K63</f>
        <v>700</v>
      </c>
      <c r="L62" s="65">
        <f t="shared" si="9"/>
        <v>6.0606060606060552E-2</v>
      </c>
      <c r="M62" s="64">
        <f>+M63</f>
        <v>735</v>
      </c>
      <c r="N62" s="71">
        <f t="shared" si="7"/>
        <v>5.0000000000000044E-2</v>
      </c>
      <c r="O62" s="64">
        <f>+O63</f>
        <v>770</v>
      </c>
      <c r="P62" s="71">
        <f t="shared" si="7"/>
        <v>4.7619047619047672E-2</v>
      </c>
    </row>
    <row r="63" spans="1:16" x14ac:dyDescent="0.3">
      <c r="A63" s="149" t="s">
        <v>200</v>
      </c>
      <c r="D63" s="66"/>
      <c r="E63" s="26" t="s">
        <v>155</v>
      </c>
      <c r="F63" s="67" t="s">
        <v>166</v>
      </c>
      <c r="G63" s="96">
        <f>SUM(G64:G64)</f>
        <v>0</v>
      </c>
      <c r="H63" s="91" t="s">
        <v>56</v>
      </c>
      <c r="I63" s="52"/>
      <c r="J63" s="16">
        <v>660</v>
      </c>
      <c r="K63" s="27">
        <v>700</v>
      </c>
      <c r="L63" s="58">
        <f t="shared" si="9"/>
        <v>6.0606060606060552E-2</v>
      </c>
      <c r="M63" s="27">
        <v>735</v>
      </c>
      <c r="N63" s="69">
        <f t="shared" si="7"/>
        <v>5.0000000000000044E-2</v>
      </c>
      <c r="O63" s="27">
        <v>770</v>
      </c>
      <c r="P63" s="58">
        <f t="shared" si="7"/>
        <v>4.7619047619047672E-2</v>
      </c>
    </row>
    <row r="64" spans="1:16" x14ac:dyDescent="0.3">
      <c r="A64" s="205"/>
      <c r="B64" s="60"/>
      <c r="C64" s="60"/>
      <c r="D64" s="79" t="s">
        <v>67</v>
      </c>
      <c r="E64" s="79"/>
      <c r="F64" s="80"/>
      <c r="G64" s="76">
        <v>0</v>
      </c>
      <c r="H64" s="89" t="s">
        <v>56</v>
      </c>
      <c r="I64" s="52"/>
      <c r="J64" s="64">
        <f>+J65</f>
        <v>270</v>
      </c>
      <c r="K64" s="64">
        <f>+K65</f>
        <v>700</v>
      </c>
      <c r="L64" s="65">
        <f t="shared" si="9"/>
        <v>1.5925925925925926</v>
      </c>
      <c r="M64" s="64">
        <f>+M65</f>
        <v>735</v>
      </c>
      <c r="N64" s="71">
        <f t="shared" si="7"/>
        <v>5.0000000000000044E-2</v>
      </c>
      <c r="O64" s="64">
        <f>+O65</f>
        <v>770</v>
      </c>
      <c r="P64" s="71">
        <f t="shared" si="7"/>
        <v>4.7619047619047672E-2</v>
      </c>
    </row>
    <row r="65" spans="1:23" x14ac:dyDescent="0.3">
      <c r="A65" s="149" t="s">
        <v>200</v>
      </c>
      <c r="D65" s="66"/>
      <c r="E65" s="26" t="s">
        <v>155</v>
      </c>
      <c r="F65" s="67" t="s">
        <v>166</v>
      </c>
      <c r="G65" s="96">
        <f>SUM(G66:G66)</f>
        <v>0</v>
      </c>
      <c r="H65" s="91" t="s">
        <v>56</v>
      </c>
      <c r="I65" s="52"/>
      <c r="J65" s="16">
        <v>270</v>
      </c>
      <c r="K65" s="27">
        <v>700</v>
      </c>
      <c r="L65" s="58">
        <f t="shared" si="9"/>
        <v>1.5925925925925926</v>
      </c>
      <c r="M65" s="27">
        <v>735</v>
      </c>
      <c r="N65" s="69">
        <f t="shared" si="7"/>
        <v>5.0000000000000044E-2</v>
      </c>
      <c r="O65" s="27">
        <v>770</v>
      </c>
      <c r="P65" s="58">
        <f t="shared" si="7"/>
        <v>4.7619047619047672E-2</v>
      </c>
    </row>
    <row r="66" spans="1:23" x14ac:dyDescent="0.3">
      <c r="A66" s="205"/>
      <c r="B66" s="60"/>
      <c r="C66" s="60"/>
      <c r="D66" s="79" t="s">
        <v>68</v>
      </c>
      <c r="E66" s="79"/>
      <c r="F66" s="80"/>
      <c r="G66" s="76">
        <v>0</v>
      </c>
      <c r="H66" s="89" t="s">
        <v>56</v>
      </c>
      <c r="I66" s="52"/>
      <c r="J66" s="64">
        <f>+J67</f>
        <v>2000</v>
      </c>
      <c r="K66" s="64">
        <f>+K67</f>
        <v>2000</v>
      </c>
      <c r="L66" s="65">
        <f t="shared" si="9"/>
        <v>0</v>
      </c>
      <c r="M66" s="64">
        <f>+M67</f>
        <v>2100</v>
      </c>
      <c r="N66" s="71">
        <f t="shared" si="7"/>
        <v>5.0000000000000044E-2</v>
      </c>
      <c r="O66" s="64">
        <f>+O67</f>
        <v>2200</v>
      </c>
      <c r="P66" s="71">
        <f t="shared" si="7"/>
        <v>4.7619047619047672E-2</v>
      </c>
    </row>
    <row r="67" spans="1:23" s="85" customFormat="1" x14ac:dyDescent="0.3">
      <c r="A67" s="147" t="s">
        <v>196</v>
      </c>
      <c r="B67" s="26"/>
      <c r="C67" s="26"/>
      <c r="D67" s="86"/>
      <c r="E67" s="26" t="s">
        <v>153</v>
      </c>
      <c r="F67" s="67" t="s">
        <v>168</v>
      </c>
      <c r="G67" s="97">
        <f>SUM(G68:G68)</f>
        <v>10000</v>
      </c>
      <c r="H67" s="91" t="e">
        <f>#REF!/G67</f>
        <v>#REF!</v>
      </c>
      <c r="I67" s="52"/>
      <c r="J67" s="16">
        <v>2000</v>
      </c>
      <c r="K67" s="27">
        <v>2000</v>
      </c>
      <c r="L67" s="58">
        <f t="shared" si="9"/>
        <v>0</v>
      </c>
      <c r="M67" s="27">
        <v>2100</v>
      </c>
      <c r="N67" s="69">
        <f t="shared" si="7"/>
        <v>5.0000000000000044E-2</v>
      </c>
      <c r="O67" s="27">
        <v>2200</v>
      </c>
      <c r="P67" s="58">
        <f t="shared" si="7"/>
        <v>4.7619047619047672E-2</v>
      </c>
      <c r="Q67" s="90"/>
      <c r="R67" s="90"/>
    </row>
    <row r="68" spans="1:23" s="85" customFormat="1" x14ac:dyDescent="0.3">
      <c r="A68" s="205"/>
      <c r="B68" s="60"/>
      <c r="C68" s="60"/>
      <c r="D68" s="79" t="s">
        <v>69</v>
      </c>
      <c r="E68" s="79"/>
      <c r="F68" s="80"/>
      <c r="G68" s="98">
        <v>10000</v>
      </c>
      <c r="H68" s="89" t="e">
        <f>#REF!/G68</f>
        <v>#REF!</v>
      </c>
      <c r="I68" s="52"/>
      <c r="J68" s="64">
        <f>+J69</f>
        <v>1400</v>
      </c>
      <c r="K68" s="64">
        <f>+K69</f>
        <v>2000</v>
      </c>
      <c r="L68" s="65">
        <f t="shared" si="9"/>
        <v>0.4285714285714286</v>
      </c>
      <c r="M68" s="64">
        <f>+M69</f>
        <v>2100</v>
      </c>
      <c r="N68" s="71">
        <f t="shared" si="7"/>
        <v>5.0000000000000044E-2</v>
      </c>
      <c r="O68" s="64">
        <f>+O69</f>
        <v>2200</v>
      </c>
      <c r="P68" s="71">
        <f t="shared" si="7"/>
        <v>4.7619047619047672E-2</v>
      </c>
      <c r="Q68" s="90"/>
      <c r="R68" s="90"/>
    </row>
    <row r="69" spans="1:23" s="85" customFormat="1" x14ac:dyDescent="0.3">
      <c r="A69" s="147" t="s">
        <v>196</v>
      </c>
      <c r="B69" s="26"/>
      <c r="C69" s="26"/>
      <c r="D69" s="86"/>
      <c r="E69" s="26" t="s">
        <v>153</v>
      </c>
      <c r="F69" s="67" t="s">
        <v>168</v>
      </c>
      <c r="G69" s="97">
        <f>SUM(G70:G70)</f>
        <v>2500</v>
      </c>
      <c r="H69" s="91" t="e">
        <f>#REF!/G69</f>
        <v>#REF!</v>
      </c>
      <c r="I69" s="52"/>
      <c r="J69" s="16">
        <v>1400</v>
      </c>
      <c r="K69" s="27">
        <v>2000</v>
      </c>
      <c r="L69" s="58">
        <f t="shared" si="9"/>
        <v>0.4285714285714286</v>
      </c>
      <c r="M69" s="27">
        <v>2100</v>
      </c>
      <c r="N69" s="69">
        <f t="shared" si="7"/>
        <v>5.0000000000000044E-2</v>
      </c>
      <c r="O69" s="27">
        <v>2200</v>
      </c>
      <c r="P69" s="58">
        <f t="shared" si="7"/>
        <v>4.7619047619047672E-2</v>
      </c>
      <c r="Q69" s="90"/>
      <c r="R69" s="90"/>
    </row>
    <row r="70" spans="1:23" s="85" customFormat="1" x14ac:dyDescent="0.3">
      <c r="A70" s="206"/>
      <c r="B70" s="99"/>
      <c r="C70" s="99"/>
      <c r="D70" s="100" t="s">
        <v>70</v>
      </c>
      <c r="E70" s="100"/>
      <c r="F70" s="101"/>
      <c r="G70" s="98">
        <v>2500</v>
      </c>
      <c r="H70" s="89" t="e">
        <f>#REF!/G70</f>
        <v>#REF!</v>
      </c>
      <c r="I70" s="52"/>
      <c r="J70" s="64">
        <f>+J71</f>
        <v>1400</v>
      </c>
      <c r="K70" s="64">
        <f>+K71</f>
        <v>2000</v>
      </c>
      <c r="L70" s="65">
        <f t="shared" si="9"/>
        <v>0.4285714285714286</v>
      </c>
      <c r="M70" s="64">
        <f>+M71</f>
        <v>2100</v>
      </c>
      <c r="N70" s="71">
        <f t="shared" si="7"/>
        <v>5.0000000000000044E-2</v>
      </c>
      <c r="O70" s="64">
        <f>+O71</f>
        <v>2200</v>
      </c>
      <c r="P70" s="71">
        <f t="shared" si="7"/>
        <v>4.7619047619047672E-2</v>
      </c>
      <c r="Q70" s="90"/>
      <c r="R70" s="90"/>
    </row>
    <row r="71" spans="1:23" x14ac:dyDescent="0.3">
      <c r="A71" s="147" t="s">
        <v>196</v>
      </c>
      <c r="B71" s="84"/>
      <c r="C71" s="84"/>
      <c r="D71" s="86"/>
      <c r="E71" s="26" t="s">
        <v>153</v>
      </c>
      <c r="F71" s="67" t="s">
        <v>168</v>
      </c>
      <c r="G71" s="92">
        <f>G74</f>
        <v>93888.88</v>
      </c>
      <c r="H71" s="102" t="e">
        <f>#REF!/G71</f>
        <v>#REF!</v>
      </c>
      <c r="I71" s="52"/>
      <c r="J71" s="16">
        <v>1400</v>
      </c>
      <c r="K71" s="27">
        <v>2000</v>
      </c>
      <c r="L71" s="58">
        <f t="shared" si="9"/>
        <v>0.4285714285714286</v>
      </c>
      <c r="M71" s="27">
        <v>2100</v>
      </c>
      <c r="N71" s="69">
        <f t="shared" si="7"/>
        <v>5.0000000000000044E-2</v>
      </c>
      <c r="O71" s="27">
        <v>2200</v>
      </c>
      <c r="P71" s="58">
        <f t="shared" si="7"/>
        <v>4.7619047619047672E-2</v>
      </c>
    </row>
    <row r="72" spans="1:23" x14ac:dyDescent="0.3">
      <c r="A72" s="206"/>
      <c r="B72" s="99"/>
      <c r="C72" s="99"/>
      <c r="D72" s="100" t="s">
        <v>71</v>
      </c>
      <c r="E72" s="100"/>
      <c r="F72" s="101"/>
      <c r="G72" s="54">
        <f>G73</f>
        <v>0</v>
      </c>
      <c r="H72" s="55" t="e">
        <f>#REF!/G72</f>
        <v>#REF!</v>
      </c>
      <c r="I72" s="52"/>
      <c r="J72" s="64">
        <f>+J73</f>
        <v>15000</v>
      </c>
      <c r="K72" s="64">
        <f>+K73</f>
        <v>15000</v>
      </c>
      <c r="L72" s="65">
        <f t="shared" si="9"/>
        <v>0</v>
      </c>
      <c r="M72" s="64">
        <f>+M73</f>
        <v>15750</v>
      </c>
      <c r="N72" s="71">
        <f t="shared" si="7"/>
        <v>5.0000000000000044E-2</v>
      </c>
      <c r="O72" s="64">
        <f>+O73</f>
        <v>16500</v>
      </c>
      <c r="P72" s="71">
        <f t="shared" si="7"/>
        <v>4.7619047619047672E-2</v>
      </c>
    </row>
    <row r="73" spans="1:23" x14ac:dyDescent="0.3">
      <c r="A73" s="147" t="s">
        <v>196</v>
      </c>
      <c r="B73" s="84"/>
      <c r="C73" s="84"/>
      <c r="D73" s="86"/>
      <c r="E73" s="26" t="s">
        <v>150</v>
      </c>
      <c r="F73" s="67" t="s">
        <v>161</v>
      </c>
      <c r="G73" s="92"/>
      <c r="H73" s="102"/>
      <c r="I73" s="52"/>
      <c r="J73" s="16">
        <v>15000</v>
      </c>
      <c r="K73" s="27">
        <v>15000</v>
      </c>
      <c r="L73" s="58">
        <f t="shared" si="9"/>
        <v>0</v>
      </c>
      <c r="M73" s="27">
        <v>15750</v>
      </c>
      <c r="N73" s="69">
        <f t="shared" si="7"/>
        <v>5.0000000000000044E-2</v>
      </c>
      <c r="O73" s="27">
        <v>16500</v>
      </c>
      <c r="P73" s="58">
        <f t="shared" si="7"/>
        <v>4.7619047619047672E-2</v>
      </c>
    </row>
    <row r="74" spans="1:23" x14ac:dyDescent="0.3">
      <c r="A74" s="206"/>
      <c r="B74" s="99"/>
      <c r="C74" s="99"/>
      <c r="D74" s="100" t="s">
        <v>72</v>
      </c>
      <c r="E74" s="100"/>
      <c r="F74" s="101"/>
      <c r="G74" s="54">
        <f>G75</f>
        <v>93888.88</v>
      </c>
      <c r="H74" s="55" t="e">
        <f>#REF!/G74</f>
        <v>#REF!</v>
      </c>
      <c r="I74" s="52"/>
      <c r="J74" s="64">
        <f>+J75</f>
        <v>1400</v>
      </c>
      <c r="K74" s="64">
        <f>+K75</f>
        <v>2000</v>
      </c>
      <c r="L74" s="65">
        <f t="shared" si="9"/>
        <v>0.4285714285714286</v>
      </c>
      <c r="M74" s="64">
        <f>+M75</f>
        <v>2100</v>
      </c>
      <c r="N74" s="71">
        <f t="shared" si="7"/>
        <v>5.0000000000000044E-2</v>
      </c>
      <c r="O74" s="64">
        <f>+O75</f>
        <v>2200</v>
      </c>
      <c r="P74" s="71">
        <f t="shared" si="7"/>
        <v>4.7619047619047672E-2</v>
      </c>
    </row>
    <row r="75" spans="1:23" x14ac:dyDescent="0.3">
      <c r="A75" s="147" t="s">
        <v>196</v>
      </c>
      <c r="B75" s="84"/>
      <c r="C75" s="84"/>
      <c r="D75" s="86"/>
      <c r="E75" s="26" t="s">
        <v>153</v>
      </c>
      <c r="F75" s="67" t="s">
        <v>168</v>
      </c>
      <c r="G75" s="103">
        <f>SUM(G76:G81)</f>
        <v>93888.88</v>
      </c>
      <c r="H75" s="104" t="e">
        <f>#REF!/G75</f>
        <v>#REF!</v>
      </c>
      <c r="I75" s="52"/>
      <c r="J75" s="16">
        <v>1400</v>
      </c>
      <c r="K75" s="27">
        <v>2000</v>
      </c>
      <c r="L75" s="58">
        <f t="shared" si="9"/>
        <v>0.4285714285714286</v>
      </c>
      <c r="M75" s="27">
        <v>2100</v>
      </c>
      <c r="N75" s="69">
        <f t="shared" si="7"/>
        <v>5.0000000000000044E-2</v>
      </c>
      <c r="O75" s="27">
        <v>2200</v>
      </c>
      <c r="P75" s="58">
        <f t="shared" si="7"/>
        <v>4.7619047619047672E-2</v>
      </c>
    </row>
    <row r="76" spans="1:23" x14ac:dyDescent="0.3">
      <c r="A76" s="203"/>
      <c r="B76" s="53"/>
      <c r="C76" s="53" t="s">
        <v>74</v>
      </c>
      <c r="D76" s="53"/>
      <c r="E76" s="53"/>
      <c r="F76" s="53"/>
      <c r="G76" s="72">
        <v>0</v>
      </c>
      <c r="H76" s="89" t="s">
        <v>56</v>
      </c>
      <c r="I76" s="52"/>
      <c r="J76" s="27">
        <f>+J77+J80</f>
        <v>185000</v>
      </c>
      <c r="K76" s="27">
        <f>+K77+K80</f>
        <v>355500</v>
      </c>
      <c r="L76" s="58">
        <f t="shared" si="9"/>
        <v>0.92162162162162153</v>
      </c>
      <c r="M76" s="27">
        <f>+M77+M80</f>
        <v>357275</v>
      </c>
      <c r="N76" s="69">
        <f t="shared" si="7"/>
        <v>4.9929676511955012E-3</v>
      </c>
      <c r="O76" s="27">
        <f>+O77+O80</f>
        <v>199050</v>
      </c>
      <c r="P76" s="58">
        <f t="shared" si="7"/>
        <v>-0.4428661395283745</v>
      </c>
    </row>
    <row r="77" spans="1:23" x14ac:dyDescent="0.3">
      <c r="A77" s="204"/>
      <c r="B77" s="60"/>
      <c r="C77" s="60"/>
      <c r="D77" s="60" t="s">
        <v>75</v>
      </c>
      <c r="E77" s="60"/>
      <c r="F77" s="59"/>
      <c r="G77" s="72">
        <v>36944.44</v>
      </c>
      <c r="H77" s="73" t="e">
        <f>#REF!/G77</f>
        <v>#REF!</v>
      </c>
      <c r="I77" s="52"/>
      <c r="J77" s="64">
        <f>+SUM(J78:J79)</f>
        <v>160000</v>
      </c>
      <c r="K77" s="64">
        <f>+SUM(K78:K79)</f>
        <v>320000</v>
      </c>
      <c r="L77" s="65">
        <f t="shared" si="9"/>
        <v>1</v>
      </c>
      <c r="M77" s="64">
        <f>+SUM(M78:M79)</f>
        <v>320000</v>
      </c>
      <c r="N77" s="71">
        <f t="shared" si="7"/>
        <v>0</v>
      </c>
      <c r="O77" s="64">
        <f>+SUM(O78:O79)</f>
        <v>160000</v>
      </c>
      <c r="P77" s="71">
        <f t="shared" si="7"/>
        <v>-0.5</v>
      </c>
    </row>
    <row r="78" spans="1:23" ht="28.8" x14ac:dyDescent="0.3">
      <c r="A78" s="149" t="s">
        <v>198</v>
      </c>
      <c r="B78" s="53"/>
      <c r="C78" s="53"/>
      <c r="D78" s="66"/>
      <c r="E78" s="26" t="s">
        <v>151</v>
      </c>
      <c r="F78" s="67" t="s">
        <v>160</v>
      </c>
      <c r="G78" s="72"/>
      <c r="H78" s="89"/>
      <c r="J78" s="142">
        <v>152850.49293378121</v>
      </c>
      <c r="K78" s="142">
        <v>305700.98586756241</v>
      </c>
      <c r="L78" s="58">
        <f t="shared" si="9"/>
        <v>1</v>
      </c>
      <c r="M78" s="142">
        <v>305700.98586756241</v>
      </c>
      <c r="N78" s="69">
        <f t="shared" si="7"/>
        <v>0</v>
      </c>
      <c r="O78" s="142">
        <v>152850.49293378121</v>
      </c>
      <c r="P78" s="58">
        <f t="shared" si="7"/>
        <v>-0.5</v>
      </c>
      <c r="R78" s="142"/>
      <c r="S78" s="142"/>
      <c r="U78" s="142"/>
      <c r="W78" s="142"/>
    </row>
    <row r="79" spans="1:23" ht="28.8" x14ac:dyDescent="0.3">
      <c r="A79" s="149" t="s">
        <v>198</v>
      </c>
      <c r="B79" s="53"/>
      <c r="C79" s="53"/>
      <c r="D79" s="66"/>
      <c r="E79" s="26" t="s">
        <v>150</v>
      </c>
      <c r="F79" s="67" t="s">
        <v>161</v>
      </c>
      <c r="G79" s="72"/>
      <c r="H79" s="89"/>
      <c r="J79" s="76">
        <v>7149.5070662187836</v>
      </c>
      <c r="K79" s="76">
        <v>14299.014132437567</v>
      </c>
      <c r="L79" s="58">
        <f t="shared" si="9"/>
        <v>1</v>
      </c>
      <c r="M79" s="27">
        <v>14299.014132437567</v>
      </c>
      <c r="N79" s="69">
        <f t="shared" si="7"/>
        <v>0</v>
      </c>
      <c r="O79" s="27">
        <v>7149.5070662187836</v>
      </c>
      <c r="P79" s="58">
        <f t="shared" si="7"/>
        <v>-0.5</v>
      </c>
    </row>
    <row r="80" spans="1:23" x14ac:dyDescent="0.3">
      <c r="A80" s="204"/>
      <c r="B80" s="60"/>
      <c r="C80" s="60"/>
      <c r="D80" s="60" t="s">
        <v>76</v>
      </c>
      <c r="E80" s="60"/>
      <c r="F80" s="59"/>
      <c r="G80" s="72">
        <v>36944.44</v>
      </c>
      <c r="H80" s="73" t="e">
        <f>#REF!/G80</f>
        <v>#REF!</v>
      </c>
      <c r="I80" s="52"/>
      <c r="J80" s="64">
        <f>+SUM(J81:J82)</f>
        <v>25000</v>
      </c>
      <c r="K80" s="64">
        <f>+SUM(K81:K82)</f>
        <v>35500</v>
      </c>
      <c r="L80" s="65">
        <f t="shared" si="9"/>
        <v>0.41999999999999993</v>
      </c>
      <c r="M80" s="64">
        <f>+SUM(M81:M82)</f>
        <v>37275</v>
      </c>
      <c r="N80" s="71">
        <f t="shared" si="7"/>
        <v>5.0000000000000044E-2</v>
      </c>
      <c r="O80" s="64">
        <f>+SUM(O81:O82)</f>
        <v>39050</v>
      </c>
      <c r="P80" s="71">
        <f t="shared" si="7"/>
        <v>4.7619047619047672E-2</v>
      </c>
    </row>
    <row r="81" spans="1:18" ht="28.8" x14ac:dyDescent="0.3">
      <c r="A81" s="147" t="s">
        <v>197</v>
      </c>
      <c r="D81" s="66"/>
      <c r="E81" s="26" t="s">
        <v>151</v>
      </c>
      <c r="F81" s="67" t="s">
        <v>160</v>
      </c>
      <c r="G81" s="72">
        <v>20000</v>
      </c>
      <c r="H81" s="89" t="s">
        <v>56</v>
      </c>
      <c r="I81" s="52"/>
      <c r="J81" s="16">
        <v>25000</v>
      </c>
      <c r="K81" s="27">
        <v>35000</v>
      </c>
      <c r="L81" s="58">
        <f t="shared" si="9"/>
        <v>0.39999999999999991</v>
      </c>
      <c r="M81" s="27">
        <v>36750</v>
      </c>
      <c r="N81" s="69">
        <f t="shared" si="7"/>
        <v>5.0000000000000044E-2</v>
      </c>
      <c r="O81" s="27">
        <v>38500</v>
      </c>
      <c r="P81" s="58">
        <f t="shared" si="7"/>
        <v>4.7619047619047672E-2</v>
      </c>
    </row>
    <row r="82" spans="1:18" ht="28.8" x14ac:dyDescent="0.3">
      <c r="A82" s="147" t="s">
        <v>197</v>
      </c>
      <c r="D82" s="66"/>
      <c r="E82" s="26" t="s">
        <v>150</v>
      </c>
      <c r="F82" s="67" t="s">
        <v>161</v>
      </c>
      <c r="G82" s="96" t="e">
        <f>SUM(#REF!)</f>
        <v>#REF!</v>
      </c>
      <c r="H82" s="91" t="s">
        <v>56</v>
      </c>
      <c r="I82" s="52"/>
      <c r="J82" s="16">
        <v>0</v>
      </c>
      <c r="K82" s="27">
        <v>500</v>
      </c>
      <c r="L82" s="58"/>
      <c r="M82" s="27">
        <v>525</v>
      </c>
      <c r="N82" s="69">
        <f t="shared" si="7"/>
        <v>5.0000000000000044E-2</v>
      </c>
      <c r="O82" s="27">
        <v>550</v>
      </c>
      <c r="P82" s="58">
        <f t="shared" si="7"/>
        <v>4.7619047619047672E-2</v>
      </c>
    </row>
    <row r="83" spans="1:18" x14ac:dyDescent="0.3">
      <c r="A83" s="203"/>
      <c r="B83" s="53"/>
      <c r="C83" s="53" t="s">
        <v>78</v>
      </c>
      <c r="D83" s="53"/>
      <c r="E83" s="53"/>
      <c r="F83" s="53"/>
      <c r="G83" s="96">
        <f>SUM(G84:G85)</f>
        <v>900000</v>
      </c>
      <c r="H83" s="78" t="e">
        <f>#REF!/G83</f>
        <v>#REF!</v>
      </c>
      <c r="I83" s="52"/>
      <c r="J83" s="27">
        <f>+J84+J86+J88+J90+J96+J94</f>
        <v>565500</v>
      </c>
      <c r="K83" s="27">
        <f>+K84+K86+K88+K90+K96+K94+K92</f>
        <v>438000</v>
      </c>
      <c r="L83" s="58">
        <f t="shared" si="9"/>
        <v>-0.22546419098143233</v>
      </c>
      <c r="M83" s="27">
        <f>+M84+M86+M88+M90+M96+M94</f>
        <v>417900</v>
      </c>
      <c r="N83" s="69">
        <f t="shared" ref="N83:P144" si="10">+M83/K83-1</f>
        <v>-4.5890410958904115E-2</v>
      </c>
      <c r="O83" s="27">
        <f>+O84+O86+O88+O90+O96+O94</f>
        <v>437800</v>
      </c>
      <c r="P83" s="58">
        <f t="shared" si="10"/>
        <v>4.7619047619047672E-2</v>
      </c>
    </row>
    <row r="84" spans="1:18" s="85" customFormat="1" x14ac:dyDescent="0.3">
      <c r="A84" s="204"/>
      <c r="B84" s="60"/>
      <c r="C84" s="60"/>
      <c r="D84" s="79" t="s">
        <v>79</v>
      </c>
      <c r="E84" s="79"/>
      <c r="F84" s="80"/>
      <c r="G84" s="106">
        <v>0</v>
      </c>
      <c r="H84" s="89" t="s">
        <v>56</v>
      </c>
      <c r="I84" s="52"/>
      <c r="J84" s="107">
        <f>+J85</f>
        <v>7000</v>
      </c>
      <c r="K84" s="107">
        <f>+K85</f>
        <v>13000</v>
      </c>
      <c r="L84" s="65">
        <f t="shared" si="9"/>
        <v>0.85714285714285721</v>
      </c>
      <c r="M84" s="107">
        <f>+M85</f>
        <v>13650</v>
      </c>
      <c r="N84" s="71">
        <f t="shared" si="10"/>
        <v>5.0000000000000044E-2</v>
      </c>
      <c r="O84" s="107">
        <f>+O85</f>
        <v>14300</v>
      </c>
      <c r="P84" s="71">
        <f t="shared" si="10"/>
        <v>4.7619047619047672E-2</v>
      </c>
      <c r="Q84" s="90"/>
      <c r="R84" s="90"/>
    </row>
    <row r="85" spans="1:18" s="85" customFormat="1" x14ac:dyDescent="0.3">
      <c r="A85" s="147" t="s">
        <v>196</v>
      </c>
      <c r="B85" s="84"/>
      <c r="C85" s="84"/>
      <c r="D85" s="108"/>
      <c r="E85" s="26" t="s">
        <v>156</v>
      </c>
      <c r="F85" s="87" t="s">
        <v>163</v>
      </c>
      <c r="G85" s="106">
        <v>900000</v>
      </c>
      <c r="H85" s="89" t="e">
        <f>#REF!/G85</f>
        <v>#REF!</v>
      </c>
      <c r="I85" s="52"/>
      <c r="J85" s="16">
        <v>7000</v>
      </c>
      <c r="K85" s="27">
        <v>13000</v>
      </c>
      <c r="L85" s="58">
        <f t="shared" si="9"/>
        <v>0.85714285714285721</v>
      </c>
      <c r="M85" s="27">
        <v>13650</v>
      </c>
      <c r="N85" s="69">
        <f t="shared" si="10"/>
        <v>5.0000000000000044E-2</v>
      </c>
      <c r="O85" s="27">
        <v>14300</v>
      </c>
      <c r="P85" s="58">
        <f t="shared" si="10"/>
        <v>4.7619047619047672E-2</v>
      </c>
      <c r="Q85" s="90"/>
      <c r="R85" s="90"/>
    </row>
    <row r="86" spans="1:18" s="85" customFormat="1" x14ac:dyDescent="0.3">
      <c r="A86" s="204"/>
      <c r="B86" s="60"/>
      <c r="C86" s="60"/>
      <c r="D86" s="79" t="s">
        <v>80</v>
      </c>
      <c r="E86" s="79"/>
      <c r="F86" s="80"/>
      <c r="G86" s="106">
        <v>0</v>
      </c>
      <c r="H86" s="89" t="s">
        <v>56</v>
      </c>
      <c r="I86" s="52"/>
      <c r="J86" s="107">
        <f>+J87</f>
        <v>7000</v>
      </c>
      <c r="K86" s="107">
        <f>+K87</f>
        <v>13000</v>
      </c>
      <c r="L86" s="65">
        <f t="shared" si="9"/>
        <v>0.85714285714285721</v>
      </c>
      <c r="M86" s="107">
        <f>+M87</f>
        <v>13650</v>
      </c>
      <c r="N86" s="71">
        <f t="shared" si="10"/>
        <v>5.0000000000000044E-2</v>
      </c>
      <c r="O86" s="107">
        <f>+O87</f>
        <v>14300</v>
      </c>
      <c r="P86" s="71">
        <f t="shared" si="10"/>
        <v>4.7619047619047672E-2</v>
      </c>
      <c r="Q86" s="90"/>
      <c r="R86" s="90"/>
    </row>
    <row r="87" spans="1:18" s="85" customFormat="1" x14ac:dyDescent="0.3">
      <c r="A87" s="149" t="s">
        <v>200</v>
      </c>
      <c r="B87" s="84"/>
      <c r="C87" s="84"/>
      <c r="D87" s="108"/>
      <c r="E87" s="26" t="s">
        <v>156</v>
      </c>
      <c r="F87" s="87" t="s">
        <v>81</v>
      </c>
      <c r="G87" s="106"/>
      <c r="H87" s="89"/>
      <c r="I87" s="52"/>
      <c r="J87" s="16">
        <v>7000</v>
      </c>
      <c r="K87" s="27">
        <v>13000</v>
      </c>
      <c r="L87" s="58">
        <f t="shared" si="9"/>
        <v>0.85714285714285721</v>
      </c>
      <c r="M87" s="27">
        <v>13650</v>
      </c>
      <c r="N87" s="69">
        <f t="shared" si="10"/>
        <v>5.0000000000000044E-2</v>
      </c>
      <c r="O87" s="27">
        <v>14300</v>
      </c>
      <c r="P87" s="58">
        <f t="shared" si="10"/>
        <v>4.7619047619047672E-2</v>
      </c>
      <c r="Q87" s="90"/>
      <c r="R87" s="90"/>
    </row>
    <row r="88" spans="1:18" s="85" customFormat="1" x14ac:dyDescent="0.3">
      <c r="A88" s="204"/>
      <c r="B88" s="60"/>
      <c r="C88" s="60"/>
      <c r="D88" s="79" t="s">
        <v>175</v>
      </c>
      <c r="E88" s="79"/>
      <c r="F88" s="80"/>
      <c r="G88" s="106">
        <v>0</v>
      </c>
      <c r="H88" s="89" t="s">
        <v>56</v>
      </c>
      <c r="I88" s="52"/>
      <c r="J88" s="107">
        <f>+J89</f>
        <v>1500</v>
      </c>
      <c r="K88" s="107">
        <f>+K89</f>
        <v>2000</v>
      </c>
      <c r="L88" s="65">
        <f t="shared" si="9"/>
        <v>0.33333333333333326</v>
      </c>
      <c r="M88" s="107">
        <f>+M89</f>
        <v>2100</v>
      </c>
      <c r="N88" s="71">
        <f t="shared" si="10"/>
        <v>5.0000000000000044E-2</v>
      </c>
      <c r="O88" s="107">
        <f>+O89</f>
        <v>2200</v>
      </c>
      <c r="P88" s="71">
        <f t="shared" si="10"/>
        <v>4.7619047619047672E-2</v>
      </c>
      <c r="Q88" s="90"/>
      <c r="R88" s="90"/>
    </row>
    <row r="89" spans="1:18" s="85" customFormat="1" x14ac:dyDescent="0.3">
      <c r="A89" s="149" t="s">
        <v>200</v>
      </c>
      <c r="B89" s="84"/>
      <c r="C89" s="84"/>
      <c r="D89" s="108"/>
      <c r="E89" s="26" t="s">
        <v>156</v>
      </c>
      <c r="F89" s="87" t="s">
        <v>163</v>
      </c>
      <c r="G89" s="106"/>
      <c r="H89" s="89"/>
      <c r="I89" s="52"/>
      <c r="J89" s="16">
        <v>1500</v>
      </c>
      <c r="K89" s="27">
        <v>2000</v>
      </c>
      <c r="L89" s="58">
        <f t="shared" si="9"/>
        <v>0.33333333333333326</v>
      </c>
      <c r="M89" s="27">
        <v>2100</v>
      </c>
      <c r="N89" s="69">
        <f t="shared" si="10"/>
        <v>5.0000000000000044E-2</v>
      </c>
      <c r="O89" s="27">
        <v>2200</v>
      </c>
      <c r="P89" s="58">
        <f t="shared" si="10"/>
        <v>4.7619047619047672E-2</v>
      </c>
      <c r="Q89" s="90"/>
      <c r="R89" s="90"/>
    </row>
    <row r="90" spans="1:18" x14ac:dyDescent="0.3">
      <c r="A90" s="204"/>
      <c r="B90" s="60"/>
      <c r="C90" s="60"/>
      <c r="D90" s="79" t="s">
        <v>82</v>
      </c>
      <c r="E90" s="79"/>
      <c r="F90" s="80"/>
      <c r="G90" s="96" t="e">
        <f>SUM(#REF!)</f>
        <v>#REF!</v>
      </c>
      <c r="H90" s="91" t="s">
        <v>56</v>
      </c>
      <c r="I90" s="52"/>
      <c r="J90" s="107">
        <f>+J91</f>
        <v>400000</v>
      </c>
      <c r="K90" s="107">
        <f>+K91</f>
        <v>300000</v>
      </c>
      <c r="L90" s="65">
        <f t="shared" si="9"/>
        <v>-0.25</v>
      </c>
      <c r="M90" s="107">
        <f>+M91</f>
        <v>315000</v>
      </c>
      <c r="N90" s="71">
        <f t="shared" si="10"/>
        <v>5.0000000000000044E-2</v>
      </c>
      <c r="O90" s="107">
        <f>+O91</f>
        <v>330000</v>
      </c>
      <c r="P90" s="71">
        <f t="shared" si="10"/>
        <v>4.7619047619047672E-2</v>
      </c>
    </row>
    <row r="91" spans="1:18" ht="28.8" x14ac:dyDescent="0.3">
      <c r="A91" s="147" t="s">
        <v>197</v>
      </c>
      <c r="B91" s="84"/>
      <c r="C91" s="84"/>
      <c r="D91" s="86"/>
      <c r="E91" s="26" t="s">
        <v>153</v>
      </c>
      <c r="F91" s="67" t="s">
        <v>168</v>
      </c>
      <c r="G91" s="96">
        <f>SUM(G92)</f>
        <v>0</v>
      </c>
      <c r="H91" s="109" t="e">
        <f>#REF!/G91</f>
        <v>#REF!</v>
      </c>
      <c r="I91" s="52"/>
      <c r="J91" s="16">
        <v>400000</v>
      </c>
      <c r="K91" s="27">
        <v>300000</v>
      </c>
      <c r="L91" s="58">
        <f t="shared" si="9"/>
        <v>-0.25</v>
      </c>
      <c r="M91" s="27">
        <v>315000</v>
      </c>
      <c r="N91" s="69">
        <f t="shared" si="10"/>
        <v>5.0000000000000044E-2</v>
      </c>
      <c r="O91" s="27">
        <v>330000</v>
      </c>
      <c r="P91" s="58">
        <f t="shared" si="10"/>
        <v>4.7619047619047672E-2</v>
      </c>
    </row>
    <row r="92" spans="1:18" x14ac:dyDescent="0.3">
      <c r="A92" s="204"/>
      <c r="B92" s="60"/>
      <c r="C92" s="60"/>
      <c r="D92" s="79" t="s">
        <v>180</v>
      </c>
      <c r="E92" s="79"/>
      <c r="F92" s="80"/>
      <c r="G92" s="76"/>
      <c r="H92" s="89"/>
      <c r="I92" s="52"/>
      <c r="J92" s="107">
        <f>+J93</f>
        <v>0</v>
      </c>
      <c r="K92" s="107">
        <f>+K93</f>
        <v>10000</v>
      </c>
      <c r="L92" s="65"/>
      <c r="M92" s="107">
        <f>+M93</f>
        <v>0</v>
      </c>
      <c r="N92" s="71">
        <f t="shared" si="10"/>
        <v>-1</v>
      </c>
      <c r="O92" s="107">
        <f>+O93</f>
        <v>0</v>
      </c>
      <c r="P92" s="71"/>
    </row>
    <row r="93" spans="1:18" x14ac:dyDescent="0.3">
      <c r="A93" s="147" t="s">
        <v>196</v>
      </c>
      <c r="B93" s="84"/>
      <c r="C93" s="84"/>
      <c r="D93" s="86"/>
      <c r="E93" s="26" t="s">
        <v>153</v>
      </c>
      <c r="F93" s="67" t="s">
        <v>168</v>
      </c>
      <c r="G93" s="96">
        <f>SUM(G96)</f>
        <v>540000</v>
      </c>
      <c r="H93" s="109" t="e">
        <f>#REF!/G93</f>
        <v>#REF!</v>
      </c>
      <c r="I93" s="52"/>
      <c r="J93" s="16">
        <v>0</v>
      </c>
      <c r="K93" s="27">
        <v>10000</v>
      </c>
      <c r="L93" s="58"/>
      <c r="M93" s="27">
        <v>0</v>
      </c>
      <c r="N93" s="69">
        <f t="shared" si="10"/>
        <v>-1</v>
      </c>
      <c r="O93" s="27">
        <v>0</v>
      </c>
      <c r="P93" s="58"/>
    </row>
    <row r="94" spans="1:18" x14ac:dyDescent="0.3">
      <c r="A94" s="204"/>
      <c r="B94" s="60"/>
      <c r="C94" s="60"/>
      <c r="D94" s="79" t="s">
        <v>179</v>
      </c>
      <c r="E94" s="79"/>
      <c r="F94" s="80"/>
      <c r="G94" s="76">
        <v>540000</v>
      </c>
      <c r="H94" s="89" t="e">
        <f>#REF!/G94</f>
        <v>#REF!</v>
      </c>
      <c r="I94" s="52"/>
      <c r="J94" s="107">
        <f>+J95</f>
        <v>100000</v>
      </c>
      <c r="K94" s="107">
        <f>+K95</f>
        <v>30000</v>
      </c>
      <c r="L94" s="65">
        <f t="shared" si="9"/>
        <v>-0.7</v>
      </c>
      <c r="M94" s="107">
        <f>+M95</f>
        <v>0</v>
      </c>
      <c r="N94" s="71">
        <f t="shared" si="10"/>
        <v>-1</v>
      </c>
      <c r="O94" s="107">
        <f>+O95</f>
        <v>0</v>
      </c>
      <c r="P94" s="71"/>
    </row>
    <row r="95" spans="1:18" ht="28.8" x14ac:dyDescent="0.3">
      <c r="A95" s="147" t="s">
        <v>197</v>
      </c>
      <c r="B95" s="84"/>
      <c r="C95" s="84"/>
      <c r="D95" s="86"/>
      <c r="E95" s="26" t="s">
        <v>153</v>
      </c>
      <c r="F95" s="67" t="s">
        <v>168</v>
      </c>
      <c r="G95" s="96"/>
      <c r="H95" s="109"/>
      <c r="I95" s="52"/>
      <c r="J95" s="16">
        <v>100000</v>
      </c>
      <c r="K95" s="27">
        <v>30000</v>
      </c>
      <c r="L95" s="58">
        <f t="shared" si="9"/>
        <v>-0.7</v>
      </c>
      <c r="M95" s="27">
        <v>0</v>
      </c>
      <c r="N95" s="69">
        <f t="shared" si="10"/>
        <v>-1</v>
      </c>
      <c r="O95" s="27">
        <v>0</v>
      </c>
      <c r="P95" s="58"/>
    </row>
    <row r="96" spans="1:18" x14ac:dyDescent="0.3">
      <c r="A96" s="204"/>
      <c r="B96" s="60"/>
      <c r="C96" s="60"/>
      <c r="D96" s="79" t="s">
        <v>83</v>
      </c>
      <c r="E96" s="79"/>
      <c r="F96" s="80"/>
      <c r="G96" s="76">
        <v>540000</v>
      </c>
      <c r="H96" s="89" t="e">
        <f>#REF!/G96</f>
        <v>#REF!</v>
      </c>
      <c r="I96" s="52"/>
      <c r="J96" s="64">
        <f>+J97</f>
        <v>50000</v>
      </c>
      <c r="K96" s="64">
        <f>+K97</f>
        <v>70000</v>
      </c>
      <c r="L96" s="65">
        <f t="shared" si="9"/>
        <v>0.39999999999999991</v>
      </c>
      <c r="M96" s="64">
        <f>+M97</f>
        <v>73500</v>
      </c>
      <c r="N96" s="71">
        <f t="shared" si="10"/>
        <v>5.0000000000000044E-2</v>
      </c>
      <c r="O96" s="64">
        <f>+O97</f>
        <v>77000</v>
      </c>
      <c r="P96" s="71">
        <f t="shared" si="10"/>
        <v>4.7619047619047672E-2</v>
      </c>
    </row>
    <row r="97" spans="1:18" ht="28.8" x14ac:dyDescent="0.3">
      <c r="A97" s="147" t="s">
        <v>197</v>
      </c>
      <c r="D97" s="66"/>
      <c r="E97" s="26" t="s">
        <v>153</v>
      </c>
      <c r="F97" s="67" t="s">
        <v>168</v>
      </c>
      <c r="G97" s="94" t="e">
        <f>G98+#REF!+G103</f>
        <v>#REF!</v>
      </c>
      <c r="H97" s="105" t="e">
        <f>H98</f>
        <v>#REF!</v>
      </c>
      <c r="I97" s="52"/>
      <c r="J97" s="16">
        <v>50000</v>
      </c>
      <c r="K97" s="27">
        <v>70000</v>
      </c>
      <c r="L97" s="58">
        <f t="shared" si="9"/>
        <v>0.39999999999999991</v>
      </c>
      <c r="M97" s="27">
        <v>73500</v>
      </c>
      <c r="N97" s="69">
        <f t="shared" si="10"/>
        <v>5.0000000000000044E-2</v>
      </c>
      <c r="O97" s="27">
        <v>77000</v>
      </c>
      <c r="P97" s="58">
        <f t="shared" si="10"/>
        <v>4.7619047619047672E-2</v>
      </c>
    </row>
    <row r="98" spans="1:18" x14ac:dyDescent="0.3">
      <c r="A98" s="203"/>
      <c r="B98" s="53"/>
      <c r="C98" s="110" t="s">
        <v>84</v>
      </c>
      <c r="D98" s="53"/>
      <c r="E98" s="110"/>
      <c r="F98" s="53"/>
      <c r="G98" s="96">
        <f>SUM(G99:G101)</f>
        <v>50000</v>
      </c>
      <c r="H98" s="111" t="e">
        <f>#REF!/G98</f>
        <v>#REF!</v>
      </c>
      <c r="I98" s="52"/>
      <c r="J98" s="27">
        <f>+J99+J102+J104+J106</f>
        <v>60500</v>
      </c>
      <c r="K98" s="27">
        <f>+K99+K102+K104+K106</f>
        <v>215000</v>
      </c>
      <c r="L98" s="58">
        <f t="shared" si="9"/>
        <v>2.553719008264463</v>
      </c>
      <c r="M98" s="27">
        <f>+M99+M102+M104+M106</f>
        <v>225750</v>
      </c>
      <c r="N98" s="69">
        <f t="shared" si="10"/>
        <v>5.0000000000000044E-2</v>
      </c>
      <c r="O98" s="27">
        <f>+O99+O102+O104+O106</f>
        <v>236500</v>
      </c>
      <c r="P98" s="58">
        <f t="shared" si="10"/>
        <v>4.7619047619047672E-2</v>
      </c>
    </row>
    <row r="99" spans="1:18" x14ac:dyDescent="0.3">
      <c r="A99" s="204"/>
      <c r="B99" s="60"/>
      <c r="C99" s="60"/>
      <c r="D99" s="79" t="s">
        <v>85</v>
      </c>
      <c r="E99" s="79"/>
      <c r="F99" s="80"/>
      <c r="G99" s="76">
        <v>25000</v>
      </c>
      <c r="H99" s="89" t="s">
        <v>56</v>
      </c>
      <c r="I99" s="52"/>
      <c r="J99" s="64">
        <f>+J100+J101</f>
        <v>27000</v>
      </c>
      <c r="K99" s="64">
        <f>+K100+K101</f>
        <v>150000</v>
      </c>
      <c r="L99" s="65">
        <f t="shared" si="9"/>
        <v>4.5555555555555554</v>
      </c>
      <c r="M99" s="64">
        <f>+M100+M101</f>
        <v>157500</v>
      </c>
      <c r="N99" s="71">
        <f t="shared" si="10"/>
        <v>5.0000000000000044E-2</v>
      </c>
      <c r="O99" s="64">
        <f>+O100+O101</f>
        <v>165000</v>
      </c>
      <c r="P99" s="71">
        <f t="shared" si="10"/>
        <v>4.7619047619047672E-2</v>
      </c>
    </row>
    <row r="100" spans="1:18" x14ac:dyDescent="0.3">
      <c r="A100" s="147" t="s">
        <v>196</v>
      </c>
      <c r="D100" s="66"/>
      <c r="E100" s="26" t="s">
        <v>150</v>
      </c>
      <c r="F100" s="67" t="s">
        <v>161</v>
      </c>
      <c r="G100" s="98">
        <v>25000</v>
      </c>
      <c r="H100" s="73" t="e">
        <f>#REF!/G100</f>
        <v>#REF!</v>
      </c>
      <c r="I100" s="52"/>
      <c r="J100" s="16">
        <v>13500</v>
      </c>
      <c r="K100" s="27">
        <v>150000</v>
      </c>
      <c r="L100" s="58">
        <f t="shared" si="9"/>
        <v>10.111111111111111</v>
      </c>
      <c r="M100" s="27">
        <v>157500</v>
      </c>
      <c r="N100" s="69">
        <f t="shared" si="10"/>
        <v>5.0000000000000044E-2</v>
      </c>
      <c r="O100" s="27">
        <v>165000</v>
      </c>
      <c r="P100" s="58">
        <f t="shared" si="10"/>
        <v>4.7619047619047672E-2</v>
      </c>
    </row>
    <row r="101" spans="1:18" s="85" customFormat="1" ht="15.6" customHeight="1" x14ac:dyDescent="0.3">
      <c r="A101" s="147" t="s">
        <v>196</v>
      </c>
      <c r="B101" s="84"/>
      <c r="C101" s="84"/>
      <c r="D101" s="112"/>
      <c r="E101" s="26" t="s">
        <v>157</v>
      </c>
      <c r="F101" s="87" t="s">
        <v>167</v>
      </c>
      <c r="G101" s="98"/>
      <c r="H101" s="73"/>
      <c r="I101" s="52"/>
      <c r="J101" s="76">
        <v>13500</v>
      </c>
      <c r="K101" s="76">
        <v>0</v>
      </c>
      <c r="L101" s="58">
        <f t="shared" si="9"/>
        <v>-1</v>
      </c>
      <c r="M101" s="27">
        <v>0</v>
      </c>
      <c r="N101" s="69"/>
      <c r="O101" s="27">
        <f>+K101*1.1</f>
        <v>0</v>
      </c>
      <c r="P101" s="58"/>
      <c r="Q101" s="90"/>
      <c r="R101" s="90"/>
    </row>
    <row r="102" spans="1:18" x14ac:dyDescent="0.3">
      <c r="A102" s="204"/>
      <c r="B102" s="60"/>
      <c r="C102" s="60"/>
      <c r="D102" s="79" t="s">
        <v>86</v>
      </c>
      <c r="E102" s="79"/>
      <c r="F102" s="80"/>
      <c r="G102" s="76">
        <v>150000</v>
      </c>
      <c r="H102" s="89" t="e">
        <f>#REF!/G102</f>
        <v>#REF!</v>
      </c>
      <c r="I102" s="52"/>
      <c r="J102" s="64">
        <f>+J103</f>
        <v>20000</v>
      </c>
      <c r="K102" s="64">
        <f>+K103</f>
        <v>20000</v>
      </c>
      <c r="L102" s="65">
        <f t="shared" si="9"/>
        <v>0</v>
      </c>
      <c r="M102" s="64">
        <f>+M103</f>
        <v>21000</v>
      </c>
      <c r="N102" s="71">
        <f t="shared" si="10"/>
        <v>5.0000000000000044E-2</v>
      </c>
      <c r="O102" s="64">
        <f>+O103</f>
        <v>22000</v>
      </c>
      <c r="P102" s="71">
        <f t="shared" si="10"/>
        <v>4.7619047619047672E-2</v>
      </c>
    </row>
    <row r="103" spans="1:18" x14ac:dyDescent="0.3">
      <c r="A103" s="147" t="s">
        <v>196</v>
      </c>
      <c r="D103" s="66"/>
      <c r="E103" s="26" t="s">
        <v>150</v>
      </c>
      <c r="F103" s="67" t="s">
        <v>161</v>
      </c>
      <c r="G103" s="96">
        <f>SUM(G104)</f>
        <v>50000</v>
      </c>
      <c r="H103" s="109" t="s">
        <v>56</v>
      </c>
      <c r="I103" s="52"/>
      <c r="J103" s="16">
        <v>20000</v>
      </c>
      <c r="K103" s="27">
        <v>20000</v>
      </c>
      <c r="L103" s="58">
        <f t="shared" si="9"/>
        <v>0</v>
      </c>
      <c r="M103" s="27">
        <v>21000</v>
      </c>
      <c r="N103" s="69">
        <f t="shared" si="10"/>
        <v>5.0000000000000044E-2</v>
      </c>
      <c r="O103" s="27">
        <v>22000</v>
      </c>
      <c r="P103" s="58">
        <f t="shared" si="10"/>
        <v>4.7619047619047672E-2</v>
      </c>
    </row>
    <row r="104" spans="1:18" x14ac:dyDescent="0.3">
      <c r="A104" s="204"/>
      <c r="B104" s="60"/>
      <c r="C104" s="60"/>
      <c r="D104" s="79" t="s">
        <v>181</v>
      </c>
      <c r="E104" s="79"/>
      <c r="F104" s="80"/>
      <c r="G104" s="76">
        <v>50000</v>
      </c>
      <c r="H104" s="89" t="s">
        <v>56</v>
      </c>
      <c r="I104" s="52"/>
      <c r="J104" s="64">
        <f>+J105</f>
        <v>0</v>
      </c>
      <c r="K104" s="64">
        <f>+K105</f>
        <v>30000</v>
      </c>
      <c r="L104" s="65"/>
      <c r="M104" s="64">
        <f>+M105</f>
        <v>31500</v>
      </c>
      <c r="N104" s="71">
        <f t="shared" si="10"/>
        <v>5.0000000000000044E-2</v>
      </c>
      <c r="O104" s="64">
        <f>+O105</f>
        <v>33000</v>
      </c>
      <c r="P104" s="71">
        <f t="shared" si="10"/>
        <v>4.7619047619047672E-2</v>
      </c>
    </row>
    <row r="105" spans="1:18" x14ac:dyDescent="0.3">
      <c r="A105" s="147" t="s">
        <v>196</v>
      </c>
      <c r="D105" s="66"/>
      <c r="E105" s="26" t="s">
        <v>150</v>
      </c>
      <c r="F105" s="67" t="s">
        <v>161</v>
      </c>
      <c r="G105" s="94">
        <f>G106+G110+G116+G108</f>
        <v>570000</v>
      </c>
      <c r="H105" s="105" t="e">
        <f>#REF!/G105</f>
        <v>#REF!</v>
      </c>
      <c r="I105" s="52"/>
      <c r="J105" s="16">
        <v>0</v>
      </c>
      <c r="K105" s="27">
        <v>30000</v>
      </c>
      <c r="L105" s="58"/>
      <c r="M105" s="27">
        <v>31500</v>
      </c>
      <c r="N105" s="69">
        <f t="shared" si="10"/>
        <v>5.0000000000000044E-2</v>
      </c>
      <c r="O105" s="27">
        <v>33000</v>
      </c>
      <c r="P105" s="58">
        <f t="shared" si="10"/>
        <v>4.7619047619047672E-2</v>
      </c>
    </row>
    <row r="106" spans="1:18" x14ac:dyDescent="0.3">
      <c r="A106" s="204"/>
      <c r="B106" s="60"/>
      <c r="C106" s="60"/>
      <c r="D106" s="79" t="s">
        <v>182</v>
      </c>
      <c r="E106" s="79"/>
      <c r="F106" s="80"/>
      <c r="G106" s="96">
        <f>SUM(G107:G107)</f>
        <v>500000</v>
      </c>
      <c r="H106" s="111" t="e">
        <f>SUM(H107:H107)</f>
        <v>#REF!</v>
      </c>
      <c r="I106" s="52"/>
      <c r="J106" s="64">
        <f>+J107</f>
        <v>13500</v>
      </c>
      <c r="K106" s="64">
        <f>+K107</f>
        <v>15000</v>
      </c>
      <c r="L106" s="65">
        <f t="shared" ref="L106:L166" si="11">+K106/J106-1</f>
        <v>0.11111111111111116</v>
      </c>
      <c r="M106" s="64">
        <f>+M107</f>
        <v>15750</v>
      </c>
      <c r="N106" s="71">
        <f t="shared" si="10"/>
        <v>5.0000000000000044E-2</v>
      </c>
      <c r="O106" s="64">
        <f>+O107</f>
        <v>16500</v>
      </c>
      <c r="P106" s="71">
        <f t="shared" si="10"/>
        <v>4.7619047619047672E-2</v>
      </c>
    </row>
    <row r="107" spans="1:18" x14ac:dyDescent="0.3">
      <c r="A107" s="147" t="s">
        <v>196</v>
      </c>
      <c r="D107" s="66"/>
      <c r="E107" s="26" t="s">
        <v>150</v>
      </c>
      <c r="F107" s="67" t="s">
        <v>161</v>
      </c>
      <c r="G107" s="29">
        <v>500000</v>
      </c>
      <c r="H107" s="73" t="e">
        <f>#REF!/G107</f>
        <v>#REF!</v>
      </c>
      <c r="I107" s="52"/>
      <c r="J107" s="16">
        <v>13500</v>
      </c>
      <c r="K107" s="27">
        <v>15000</v>
      </c>
      <c r="L107" s="58">
        <f t="shared" si="11"/>
        <v>0.11111111111111116</v>
      </c>
      <c r="M107" s="27">
        <v>15750</v>
      </c>
      <c r="N107" s="69">
        <f t="shared" si="10"/>
        <v>5.0000000000000044E-2</v>
      </c>
      <c r="O107" s="27">
        <v>16500</v>
      </c>
      <c r="P107" s="58">
        <f t="shared" si="10"/>
        <v>4.7619047619047672E-2</v>
      </c>
    </row>
    <row r="108" spans="1:18" x14ac:dyDescent="0.3">
      <c r="A108" s="203"/>
      <c r="B108" s="53"/>
      <c r="C108" s="53" t="s">
        <v>87</v>
      </c>
      <c r="D108" s="53"/>
      <c r="E108" s="110"/>
      <c r="F108" s="110"/>
      <c r="G108" s="96">
        <f>SUM(G109:G109)</f>
        <v>50000</v>
      </c>
      <c r="H108" s="109" t="e">
        <f>#REF!/G108</f>
        <v>#REF!</v>
      </c>
      <c r="I108" s="52"/>
      <c r="J108" s="27">
        <f>+J109+J113+J115+J117+J119</f>
        <v>157500</v>
      </c>
      <c r="K108" s="27">
        <f>+K109+K113+K115+K117+K119+K111</f>
        <v>209000</v>
      </c>
      <c r="L108" s="58">
        <f t="shared" si="11"/>
        <v>0.32698412698412693</v>
      </c>
      <c r="M108" s="27">
        <f>+M109+M113+M115+M117+M119+M111</f>
        <v>219450</v>
      </c>
      <c r="N108" s="69">
        <f t="shared" si="10"/>
        <v>5.0000000000000044E-2</v>
      </c>
      <c r="O108" s="27">
        <f>+O109+O113+O115+O117+O119+O111</f>
        <v>229900</v>
      </c>
      <c r="P108" s="58">
        <f t="shared" si="10"/>
        <v>4.7619047619047672E-2</v>
      </c>
    </row>
    <row r="109" spans="1:18" x14ac:dyDescent="0.3">
      <c r="A109" s="204"/>
      <c r="B109" s="60"/>
      <c r="C109" s="60"/>
      <c r="D109" s="79" t="s">
        <v>88</v>
      </c>
      <c r="E109" s="79"/>
      <c r="F109" s="80"/>
      <c r="G109" s="29">
        <v>50000</v>
      </c>
      <c r="H109" s="89" t="e">
        <f>#REF!/G109</f>
        <v>#REF!</v>
      </c>
      <c r="I109" s="52"/>
      <c r="J109" s="64">
        <f>+J110</f>
        <v>135000</v>
      </c>
      <c r="K109" s="64">
        <f>+K110</f>
        <v>90000</v>
      </c>
      <c r="L109" s="65">
        <f t="shared" si="11"/>
        <v>-0.33333333333333337</v>
      </c>
      <c r="M109" s="64">
        <f>+M110</f>
        <v>94500</v>
      </c>
      <c r="N109" s="71">
        <f t="shared" si="10"/>
        <v>5.0000000000000044E-2</v>
      </c>
      <c r="O109" s="64">
        <f>+O110</f>
        <v>99000</v>
      </c>
      <c r="P109" s="71">
        <f t="shared" si="10"/>
        <v>4.7619047619047672E-2</v>
      </c>
    </row>
    <row r="110" spans="1:18" ht="28.8" x14ac:dyDescent="0.3">
      <c r="A110" s="147" t="s">
        <v>197</v>
      </c>
      <c r="D110" s="66"/>
      <c r="E110" s="26" t="s">
        <v>150</v>
      </c>
      <c r="F110" s="67" t="s">
        <v>161</v>
      </c>
      <c r="G110" s="96">
        <f>SUM(G115:G115)</f>
        <v>10000</v>
      </c>
      <c r="H110" s="109" t="e">
        <f>#REF!/G110</f>
        <v>#REF!</v>
      </c>
      <c r="I110" s="52"/>
      <c r="J110" s="16">
        <v>135000</v>
      </c>
      <c r="K110" s="27">
        <v>90000</v>
      </c>
      <c r="L110" s="58">
        <f t="shared" si="11"/>
        <v>-0.33333333333333337</v>
      </c>
      <c r="M110" s="27">
        <v>94500</v>
      </c>
      <c r="N110" s="69">
        <f t="shared" si="10"/>
        <v>5.0000000000000044E-2</v>
      </c>
      <c r="O110" s="27">
        <v>99000</v>
      </c>
      <c r="P110" s="58">
        <f t="shared" si="10"/>
        <v>4.7619047619047672E-2</v>
      </c>
    </row>
    <row r="111" spans="1:18" x14ac:dyDescent="0.3">
      <c r="A111" s="204"/>
      <c r="B111" s="60"/>
      <c r="C111" s="60"/>
      <c r="D111" s="79" t="s">
        <v>89</v>
      </c>
      <c r="E111" s="79"/>
      <c r="F111" s="80"/>
      <c r="G111" s="29">
        <v>50000</v>
      </c>
      <c r="H111" s="89" t="e">
        <f>#REF!/G111</f>
        <v>#REF!</v>
      </c>
      <c r="I111" s="52"/>
      <c r="J111" s="64">
        <f>+J112</f>
        <v>0</v>
      </c>
      <c r="K111" s="64">
        <f>+K112</f>
        <v>90000</v>
      </c>
      <c r="L111" s="65"/>
      <c r="M111" s="64">
        <f>+M112</f>
        <v>94500</v>
      </c>
      <c r="N111" s="71">
        <f>+M111/K111-1</f>
        <v>5.0000000000000044E-2</v>
      </c>
      <c r="O111" s="64">
        <f>+O112</f>
        <v>99000</v>
      </c>
      <c r="P111" s="71">
        <f>+O111/M111-1</f>
        <v>4.7619047619047672E-2</v>
      </c>
      <c r="Q111" s="113"/>
    </row>
    <row r="112" spans="1:18" x14ac:dyDescent="0.3">
      <c r="A112" s="147" t="s">
        <v>196</v>
      </c>
      <c r="D112" s="66"/>
      <c r="E112" s="26" t="s">
        <v>150</v>
      </c>
      <c r="F112" s="67" t="s">
        <v>161</v>
      </c>
      <c r="G112" s="96">
        <f>SUM(G117:G117)</f>
        <v>10000</v>
      </c>
      <c r="H112" s="109" t="e">
        <f>#REF!/G112</f>
        <v>#REF!</v>
      </c>
      <c r="I112" s="52"/>
      <c r="K112" s="27">
        <v>90000</v>
      </c>
      <c r="L112" s="58"/>
      <c r="M112" s="27">
        <v>94500</v>
      </c>
      <c r="N112" s="69">
        <f>+M112/K112-1</f>
        <v>5.0000000000000044E-2</v>
      </c>
      <c r="O112" s="27">
        <v>99000</v>
      </c>
      <c r="P112" s="58">
        <f>+O112/M112-1</f>
        <v>4.7619047619047672E-2</v>
      </c>
    </row>
    <row r="113" spans="1:16" x14ac:dyDescent="0.3">
      <c r="A113" s="204"/>
      <c r="B113" s="60"/>
      <c r="C113" s="60"/>
      <c r="D113" s="79" t="s">
        <v>90</v>
      </c>
      <c r="E113" s="79"/>
      <c r="F113" s="80"/>
      <c r="G113" s="29">
        <v>10000</v>
      </c>
      <c r="H113" s="89" t="e">
        <f>#REF!/G113</f>
        <v>#REF!</v>
      </c>
      <c r="I113" s="52"/>
      <c r="J113" s="64">
        <f>+J114</f>
        <v>6500</v>
      </c>
      <c r="K113" s="64">
        <f>+K114</f>
        <v>10000</v>
      </c>
      <c r="L113" s="65">
        <f t="shared" si="11"/>
        <v>0.53846153846153855</v>
      </c>
      <c r="M113" s="64">
        <f>+M114</f>
        <v>10500</v>
      </c>
      <c r="N113" s="71">
        <f t="shared" si="10"/>
        <v>5.0000000000000044E-2</v>
      </c>
      <c r="O113" s="64">
        <f>+O114</f>
        <v>11000</v>
      </c>
      <c r="P113" s="71">
        <f t="shared" si="10"/>
        <v>4.7619047619047672E-2</v>
      </c>
    </row>
    <row r="114" spans="1:16" x14ac:dyDescent="0.3">
      <c r="A114" s="147" t="s">
        <v>196</v>
      </c>
      <c r="D114" s="66"/>
      <c r="E114" s="26" t="s">
        <v>153</v>
      </c>
      <c r="F114" s="67" t="s">
        <v>168</v>
      </c>
      <c r="G114" s="96"/>
      <c r="H114" s="109"/>
      <c r="I114" s="52"/>
      <c r="J114" s="16">
        <v>6500</v>
      </c>
      <c r="K114" s="27">
        <v>10000</v>
      </c>
      <c r="L114" s="58">
        <f t="shared" si="11"/>
        <v>0.53846153846153855</v>
      </c>
      <c r="M114" s="27">
        <v>10500</v>
      </c>
      <c r="N114" s="69">
        <f t="shared" si="10"/>
        <v>5.0000000000000044E-2</v>
      </c>
      <c r="O114" s="27">
        <v>11000</v>
      </c>
      <c r="P114" s="58">
        <f t="shared" si="10"/>
        <v>4.7619047619047672E-2</v>
      </c>
    </row>
    <row r="115" spans="1:16" s="25" customFormat="1" x14ac:dyDescent="0.3">
      <c r="A115" s="204"/>
      <c r="B115" s="60"/>
      <c r="C115" s="60"/>
      <c r="D115" s="79" t="s">
        <v>91</v>
      </c>
      <c r="E115" s="79"/>
      <c r="F115" s="80"/>
      <c r="G115" s="29">
        <v>10000</v>
      </c>
      <c r="H115" s="89" t="e">
        <f>#REF!/G115</f>
        <v>#REF!</v>
      </c>
      <c r="I115" s="52"/>
      <c r="J115" s="64">
        <f>+J116</f>
        <v>13300</v>
      </c>
      <c r="K115" s="64">
        <f>+K116</f>
        <v>15000</v>
      </c>
      <c r="L115" s="65">
        <f t="shared" si="11"/>
        <v>0.1278195488721805</v>
      </c>
      <c r="M115" s="64">
        <f>+M116</f>
        <v>15750</v>
      </c>
      <c r="N115" s="71">
        <f t="shared" si="10"/>
        <v>5.0000000000000044E-2</v>
      </c>
      <c r="O115" s="64">
        <f>+O116</f>
        <v>16500</v>
      </c>
      <c r="P115" s="71">
        <f t="shared" si="10"/>
        <v>4.7619047619047672E-2</v>
      </c>
    </row>
    <row r="116" spans="1:16" s="25" customFormat="1" x14ac:dyDescent="0.3">
      <c r="A116" s="147" t="s">
        <v>196</v>
      </c>
      <c r="B116" s="26"/>
      <c r="C116" s="26"/>
      <c r="D116" s="66"/>
      <c r="E116" s="26" t="s">
        <v>150</v>
      </c>
      <c r="F116" s="67" t="s">
        <v>161</v>
      </c>
      <c r="G116" s="96">
        <f>SUM(G117:G117)</f>
        <v>10000</v>
      </c>
      <c r="H116" s="111" t="e">
        <f>#REF!/G116</f>
        <v>#REF!</v>
      </c>
      <c r="I116" s="52"/>
      <c r="J116" s="16">
        <v>13300</v>
      </c>
      <c r="K116" s="27">
        <v>15000</v>
      </c>
      <c r="L116" s="58">
        <f t="shared" si="11"/>
        <v>0.1278195488721805</v>
      </c>
      <c r="M116" s="27">
        <v>15750</v>
      </c>
      <c r="N116" s="69">
        <f t="shared" si="10"/>
        <v>5.0000000000000044E-2</v>
      </c>
      <c r="O116" s="27">
        <v>16500</v>
      </c>
      <c r="P116" s="58">
        <f t="shared" si="10"/>
        <v>4.7619047619047672E-2</v>
      </c>
    </row>
    <row r="117" spans="1:16" s="25" customFormat="1" x14ac:dyDescent="0.3">
      <c r="A117" s="204"/>
      <c r="B117" s="60"/>
      <c r="C117" s="60"/>
      <c r="D117" s="79" t="s">
        <v>92</v>
      </c>
      <c r="E117" s="79"/>
      <c r="F117" s="80"/>
      <c r="G117" s="29">
        <v>10000</v>
      </c>
      <c r="H117" s="114" t="e">
        <f>#REF!/G117</f>
        <v>#REF!</v>
      </c>
      <c r="I117" s="52"/>
      <c r="J117" s="64">
        <f>+J118</f>
        <v>700</v>
      </c>
      <c r="K117" s="64">
        <f>+K118</f>
        <v>2000</v>
      </c>
      <c r="L117" s="65">
        <f t="shared" si="11"/>
        <v>1.8571428571428572</v>
      </c>
      <c r="M117" s="64">
        <f>+M118</f>
        <v>2100</v>
      </c>
      <c r="N117" s="71">
        <f t="shared" si="10"/>
        <v>5.0000000000000044E-2</v>
      </c>
      <c r="O117" s="64">
        <f>+O118</f>
        <v>2200</v>
      </c>
      <c r="P117" s="71">
        <f t="shared" si="10"/>
        <v>4.7619047619047672E-2</v>
      </c>
    </row>
    <row r="118" spans="1:16" s="25" customFormat="1" x14ac:dyDescent="0.3">
      <c r="A118" s="147" t="s">
        <v>196</v>
      </c>
      <c r="B118" s="26"/>
      <c r="C118" s="26"/>
      <c r="D118" s="66"/>
      <c r="E118" s="26" t="s">
        <v>150</v>
      </c>
      <c r="F118" s="67" t="s">
        <v>161</v>
      </c>
      <c r="G118" s="94">
        <f>G119+G126</f>
        <v>250000</v>
      </c>
      <c r="H118" s="105" t="e">
        <f>#REF!/G118</f>
        <v>#REF!</v>
      </c>
      <c r="I118" s="52"/>
      <c r="J118" s="16">
        <v>700</v>
      </c>
      <c r="K118" s="27">
        <v>2000</v>
      </c>
      <c r="L118" s="58">
        <f t="shared" si="11"/>
        <v>1.8571428571428572</v>
      </c>
      <c r="M118" s="27">
        <v>2100</v>
      </c>
      <c r="N118" s="69">
        <f t="shared" si="10"/>
        <v>5.0000000000000044E-2</v>
      </c>
      <c r="O118" s="27">
        <v>2200</v>
      </c>
      <c r="P118" s="58">
        <f t="shared" si="10"/>
        <v>4.7619047619047672E-2</v>
      </c>
    </row>
    <row r="119" spans="1:16" s="25" customFormat="1" x14ac:dyDescent="0.3">
      <c r="A119" s="204"/>
      <c r="B119" s="60"/>
      <c r="C119" s="60"/>
      <c r="D119" s="79" t="s">
        <v>93</v>
      </c>
      <c r="E119" s="79"/>
      <c r="F119" s="80"/>
      <c r="G119" s="96">
        <f>SUM(G120:G122)</f>
        <v>50000</v>
      </c>
      <c r="H119" s="109" t="s">
        <v>56</v>
      </c>
      <c r="I119" s="52"/>
      <c r="J119" s="64">
        <f>+J120</f>
        <v>2000</v>
      </c>
      <c r="K119" s="64">
        <f>+K120</f>
        <v>2000</v>
      </c>
      <c r="L119" s="65">
        <f t="shared" si="11"/>
        <v>0</v>
      </c>
      <c r="M119" s="64">
        <f>+M120</f>
        <v>2100</v>
      </c>
      <c r="N119" s="71">
        <f t="shared" si="10"/>
        <v>5.0000000000000044E-2</v>
      </c>
      <c r="O119" s="64">
        <f>+O120</f>
        <v>2200</v>
      </c>
      <c r="P119" s="71">
        <f t="shared" si="10"/>
        <v>4.7619047619047672E-2</v>
      </c>
    </row>
    <row r="120" spans="1:16" s="25" customFormat="1" x14ac:dyDescent="0.3">
      <c r="A120" s="147" t="s">
        <v>196</v>
      </c>
      <c r="B120" s="26"/>
      <c r="C120" s="26"/>
      <c r="D120" s="66"/>
      <c r="E120" s="26" t="s">
        <v>150</v>
      </c>
      <c r="F120" s="67" t="s">
        <v>161</v>
      </c>
      <c r="G120" s="115">
        <v>10000</v>
      </c>
      <c r="H120" s="116" t="s">
        <v>56</v>
      </c>
      <c r="I120" s="52"/>
      <c r="J120" s="16">
        <v>2000</v>
      </c>
      <c r="K120" s="27">
        <v>2000</v>
      </c>
      <c r="L120" s="58">
        <f t="shared" si="11"/>
        <v>0</v>
      </c>
      <c r="M120" s="27">
        <v>2100</v>
      </c>
      <c r="N120" s="69">
        <f t="shared" si="10"/>
        <v>5.0000000000000044E-2</v>
      </c>
      <c r="O120" s="27">
        <v>2200</v>
      </c>
      <c r="P120" s="58">
        <f t="shared" si="10"/>
        <v>4.7619047619047672E-2</v>
      </c>
    </row>
    <row r="121" spans="1:16" s="25" customFormat="1" x14ac:dyDescent="0.3">
      <c r="A121" s="203"/>
      <c r="B121" s="53"/>
      <c r="C121" s="53" t="s">
        <v>94</v>
      </c>
      <c r="D121" s="53"/>
      <c r="E121" s="110"/>
      <c r="F121" s="110"/>
      <c r="G121" s="115">
        <v>40000</v>
      </c>
      <c r="H121" s="116" t="s">
        <v>56</v>
      </c>
      <c r="I121" s="52"/>
      <c r="J121" s="27">
        <f>+J122+J127+J129+J131+J124</f>
        <v>155000</v>
      </c>
      <c r="K121" s="27">
        <f>+K122+K127+K129+K131+K124</f>
        <v>341000</v>
      </c>
      <c r="L121" s="58">
        <f t="shared" si="11"/>
        <v>1.2000000000000002</v>
      </c>
      <c r="M121" s="27">
        <f>+M122+M127+M129+M131+M124</f>
        <v>358050</v>
      </c>
      <c r="N121" s="69">
        <f t="shared" si="10"/>
        <v>5.0000000000000044E-2</v>
      </c>
      <c r="O121" s="27">
        <f>+O122+O127+O129+O131+O124</f>
        <v>375100</v>
      </c>
      <c r="P121" s="58">
        <f t="shared" si="10"/>
        <v>4.7619047619047672E-2</v>
      </c>
    </row>
    <row r="122" spans="1:16" s="25" customFormat="1" x14ac:dyDescent="0.3">
      <c r="A122" s="204"/>
      <c r="B122" s="60"/>
      <c r="C122" s="60"/>
      <c r="D122" s="79" t="s">
        <v>183</v>
      </c>
      <c r="E122" s="79"/>
      <c r="F122" s="80"/>
      <c r="G122" s="115">
        <v>0</v>
      </c>
      <c r="H122" s="116" t="s">
        <v>56</v>
      </c>
      <c r="I122" s="52"/>
      <c r="J122" s="64">
        <f>+SUM(J123:J125)</f>
        <v>60000</v>
      </c>
      <c r="K122" s="64">
        <f>+K123</f>
        <v>70000</v>
      </c>
      <c r="L122" s="65">
        <f t="shared" si="11"/>
        <v>0.16666666666666674</v>
      </c>
      <c r="M122" s="64">
        <f>+M123</f>
        <v>73500</v>
      </c>
      <c r="N122" s="71">
        <f t="shared" si="10"/>
        <v>5.0000000000000044E-2</v>
      </c>
      <c r="O122" s="64">
        <f>+O123</f>
        <v>77000</v>
      </c>
      <c r="P122" s="71">
        <f t="shared" si="10"/>
        <v>4.7619047619047672E-2</v>
      </c>
    </row>
    <row r="123" spans="1:16" s="25" customFormat="1" x14ac:dyDescent="0.3">
      <c r="A123" s="147" t="s">
        <v>196</v>
      </c>
      <c r="B123" s="26"/>
      <c r="C123" s="26"/>
      <c r="D123" s="66"/>
      <c r="E123" s="26" t="s">
        <v>150</v>
      </c>
      <c r="F123" s="67" t="s">
        <v>161</v>
      </c>
      <c r="G123" s="96"/>
      <c r="H123" s="111"/>
      <c r="I123" s="52"/>
      <c r="J123" s="16">
        <v>60000</v>
      </c>
      <c r="K123" s="27">
        <v>70000</v>
      </c>
      <c r="L123" s="58">
        <f t="shared" si="11"/>
        <v>0.16666666666666674</v>
      </c>
      <c r="M123" s="27">
        <v>73500</v>
      </c>
      <c r="N123" s="69">
        <f t="shared" si="10"/>
        <v>5.0000000000000044E-2</v>
      </c>
      <c r="O123" s="27">
        <v>77000</v>
      </c>
      <c r="P123" s="58">
        <f t="shared" si="10"/>
        <v>4.7619047619047672E-2</v>
      </c>
    </row>
    <row r="124" spans="1:16" s="25" customFormat="1" x14ac:dyDescent="0.3">
      <c r="A124" s="204"/>
      <c r="B124" s="60"/>
      <c r="C124" s="60"/>
      <c r="D124" s="79" t="s">
        <v>184</v>
      </c>
      <c r="E124" s="79"/>
      <c r="F124" s="80"/>
      <c r="G124" s="115">
        <v>0</v>
      </c>
      <c r="H124" s="116" t="s">
        <v>56</v>
      </c>
      <c r="I124" s="52"/>
      <c r="J124" s="64">
        <f>+SUM(J125:J126)</f>
        <v>0</v>
      </c>
      <c r="K124" s="64">
        <f>+SUM(K125:K126)</f>
        <v>80000</v>
      </c>
      <c r="L124" s="65"/>
      <c r="M124" s="64">
        <f>+SUM(M125:M126)</f>
        <v>84000</v>
      </c>
      <c r="N124" s="71">
        <f t="shared" ref="N124" si="12">+M124/K124-1</f>
        <v>5.0000000000000044E-2</v>
      </c>
      <c r="O124" s="64">
        <f>+SUM(O125:O126)</f>
        <v>88000</v>
      </c>
      <c r="P124" s="71">
        <f t="shared" ref="P124" si="13">+O124/M124-1</f>
        <v>4.7619047619047672E-2</v>
      </c>
    </row>
    <row r="125" spans="1:16" s="25" customFormat="1" x14ac:dyDescent="0.3">
      <c r="A125" s="147" t="s">
        <v>196</v>
      </c>
      <c r="B125" s="26"/>
      <c r="C125" s="26"/>
      <c r="D125" s="66"/>
      <c r="E125" s="26" t="s">
        <v>153</v>
      </c>
      <c r="F125" s="67" t="s">
        <v>168</v>
      </c>
      <c r="G125" s="115">
        <v>200000</v>
      </c>
      <c r="H125" s="89" t="s">
        <v>56</v>
      </c>
      <c r="I125" s="52"/>
      <c r="J125" s="16">
        <v>0</v>
      </c>
      <c r="K125" s="27">
        <v>10000</v>
      </c>
      <c r="L125" s="58"/>
      <c r="M125" s="27">
        <v>10500</v>
      </c>
      <c r="N125" s="69">
        <f t="shared" si="10"/>
        <v>5.0000000000000044E-2</v>
      </c>
      <c r="O125" s="27">
        <v>11000</v>
      </c>
      <c r="P125" s="58">
        <f t="shared" si="10"/>
        <v>4.7619047619047672E-2</v>
      </c>
    </row>
    <row r="126" spans="1:16" s="25" customFormat="1" x14ac:dyDescent="0.3">
      <c r="A126" s="147" t="s">
        <v>196</v>
      </c>
      <c r="B126" s="26"/>
      <c r="C126" s="26"/>
      <c r="D126" s="66"/>
      <c r="E126" s="26" t="s">
        <v>150</v>
      </c>
      <c r="F126" s="67" t="s">
        <v>161</v>
      </c>
      <c r="G126" s="96">
        <f>SUM(G125:G125)</f>
        <v>200000</v>
      </c>
      <c r="H126" s="111" t="e">
        <f>#REF!/G126</f>
        <v>#REF!</v>
      </c>
      <c r="I126" s="52"/>
      <c r="J126" s="16">
        <v>0</v>
      </c>
      <c r="K126" s="27">
        <v>70000</v>
      </c>
      <c r="L126" s="58"/>
      <c r="M126" s="27">
        <v>73500</v>
      </c>
      <c r="N126" s="69">
        <f>+M126/K126-1</f>
        <v>5.0000000000000044E-2</v>
      </c>
      <c r="O126" s="27">
        <v>77000</v>
      </c>
      <c r="P126" s="58">
        <f>+O126/M126-1</f>
        <v>4.7619047619047672E-2</v>
      </c>
    </row>
    <row r="127" spans="1:16" s="25" customFormat="1" x14ac:dyDescent="0.3">
      <c r="A127" s="204"/>
      <c r="B127" s="60"/>
      <c r="C127" s="60"/>
      <c r="D127" s="79" t="s">
        <v>95</v>
      </c>
      <c r="E127" s="79"/>
      <c r="F127" s="80"/>
      <c r="G127" s="115">
        <v>0</v>
      </c>
      <c r="H127" s="116" t="s">
        <v>56</v>
      </c>
      <c r="I127" s="52"/>
      <c r="J127" s="64">
        <f>+J128</f>
        <v>30000</v>
      </c>
      <c r="K127" s="64">
        <f>+K128</f>
        <v>100000</v>
      </c>
      <c r="L127" s="65">
        <f t="shared" si="11"/>
        <v>2.3333333333333335</v>
      </c>
      <c r="M127" s="64">
        <f>+M128</f>
        <v>105000</v>
      </c>
      <c r="N127" s="71">
        <f t="shared" si="10"/>
        <v>5.0000000000000044E-2</v>
      </c>
      <c r="O127" s="64">
        <f>+O128</f>
        <v>110000</v>
      </c>
      <c r="P127" s="71">
        <f t="shared" si="10"/>
        <v>4.7619047619047672E-2</v>
      </c>
    </row>
    <row r="128" spans="1:16" s="25" customFormat="1" x14ac:dyDescent="0.3">
      <c r="A128" s="147" t="s">
        <v>196</v>
      </c>
      <c r="B128" s="26"/>
      <c r="C128" s="26"/>
      <c r="D128" s="66"/>
      <c r="E128" s="26" t="s">
        <v>153</v>
      </c>
      <c r="F128" s="67" t="s">
        <v>168</v>
      </c>
      <c r="G128" s="115">
        <v>200000</v>
      </c>
      <c r="H128" s="89" t="s">
        <v>56</v>
      </c>
      <c r="I128" s="52"/>
      <c r="J128" s="16">
        <v>30000</v>
      </c>
      <c r="K128" s="27">
        <v>100000</v>
      </c>
      <c r="L128" s="58">
        <f t="shared" si="11"/>
        <v>2.3333333333333335</v>
      </c>
      <c r="M128" s="27">
        <v>105000</v>
      </c>
      <c r="N128" s="69">
        <f t="shared" si="10"/>
        <v>5.0000000000000044E-2</v>
      </c>
      <c r="O128" s="27">
        <v>110000</v>
      </c>
      <c r="P128" s="58">
        <f t="shared" si="10"/>
        <v>4.7619047619047672E-2</v>
      </c>
    </row>
    <row r="129" spans="1:18" s="25" customFormat="1" x14ac:dyDescent="0.3">
      <c r="A129" s="204"/>
      <c r="B129" s="60"/>
      <c r="C129" s="60"/>
      <c r="D129" s="79" t="s">
        <v>185</v>
      </c>
      <c r="E129" s="79"/>
      <c r="F129" s="80"/>
      <c r="G129" s="115"/>
      <c r="H129" s="89"/>
      <c r="I129" s="52"/>
      <c r="J129" s="64">
        <f>+J130</f>
        <v>0</v>
      </c>
      <c r="K129" s="64">
        <f>+K130</f>
        <v>11000</v>
      </c>
      <c r="L129" s="65"/>
      <c r="M129" s="64">
        <f>+M130</f>
        <v>11550</v>
      </c>
      <c r="N129" s="71">
        <f t="shared" si="10"/>
        <v>5.0000000000000044E-2</v>
      </c>
      <c r="O129" s="64">
        <f>+O130</f>
        <v>12100</v>
      </c>
      <c r="P129" s="71">
        <f t="shared" si="10"/>
        <v>4.7619047619047672E-2</v>
      </c>
    </row>
    <row r="130" spans="1:18" s="25" customFormat="1" x14ac:dyDescent="0.3">
      <c r="A130" s="147" t="s">
        <v>196</v>
      </c>
      <c r="B130" s="26"/>
      <c r="C130" s="26"/>
      <c r="D130" s="66"/>
      <c r="E130" s="26" t="s">
        <v>153</v>
      </c>
      <c r="F130" s="67" t="s">
        <v>168</v>
      </c>
      <c r="G130" s="94">
        <f>G132+G140</f>
        <v>600000</v>
      </c>
      <c r="H130" s="95" t="e">
        <f>#REF!/G130</f>
        <v>#REF!</v>
      </c>
      <c r="I130" s="52"/>
      <c r="J130" s="16">
        <v>0</v>
      </c>
      <c r="K130" s="27">
        <v>11000</v>
      </c>
      <c r="L130" s="58"/>
      <c r="M130" s="27">
        <v>11550</v>
      </c>
      <c r="N130" s="69">
        <f t="shared" si="10"/>
        <v>5.0000000000000044E-2</v>
      </c>
      <c r="O130" s="27">
        <v>12100</v>
      </c>
      <c r="P130" s="58">
        <f t="shared" si="10"/>
        <v>4.7619047619047672E-2</v>
      </c>
    </row>
    <row r="131" spans="1:18" s="25" customFormat="1" x14ac:dyDescent="0.3">
      <c r="A131" s="204"/>
      <c r="B131" s="60"/>
      <c r="C131" s="60"/>
      <c r="D131" s="79" t="s">
        <v>172</v>
      </c>
      <c r="E131" s="79"/>
      <c r="F131" s="80"/>
      <c r="G131" s="115"/>
      <c r="H131" s="89"/>
      <c r="I131" s="52"/>
      <c r="J131" s="64">
        <f>+J132</f>
        <v>65000</v>
      </c>
      <c r="K131" s="64">
        <f>+K132</f>
        <v>80000</v>
      </c>
      <c r="L131" s="65">
        <f t="shared" ref="L131" si="14">+K131/J131-1</f>
        <v>0.23076923076923084</v>
      </c>
      <c r="M131" s="64">
        <f>+M132</f>
        <v>84000</v>
      </c>
      <c r="N131" s="71">
        <f t="shared" ref="N131" si="15">+M131/K131-1</f>
        <v>5.0000000000000044E-2</v>
      </c>
      <c r="O131" s="64">
        <f>+O132</f>
        <v>88000</v>
      </c>
      <c r="P131" s="71">
        <f t="shared" ref="P131" si="16">+O131/M131-1</f>
        <v>4.7619047619047672E-2</v>
      </c>
    </row>
    <row r="132" spans="1:18" s="25" customFormat="1" ht="28.8" x14ac:dyDescent="0.3">
      <c r="A132" s="147" t="s">
        <v>197</v>
      </c>
      <c r="B132" s="26"/>
      <c r="C132" s="26"/>
      <c r="D132" s="66"/>
      <c r="E132" s="26" t="s">
        <v>153</v>
      </c>
      <c r="F132" s="67" t="s">
        <v>168</v>
      </c>
      <c r="G132" s="96">
        <f>SUM(G133:G133)</f>
        <v>300000</v>
      </c>
      <c r="H132" s="78" t="e">
        <f>#REF!/G132</f>
        <v>#REF!</v>
      </c>
      <c r="I132" s="52"/>
      <c r="J132" s="16">
        <v>65000</v>
      </c>
      <c r="K132" s="27">
        <v>80000</v>
      </c>
      <c r="L132" s="58">
        <f t="shared" si="11"/>
        <v>0.23076923076923084</v>
      </c>
      <c r="M132" s="27">
        <v>84000</v>
      </c>
      <c r="N132" s="69">
        <f t="shared" si="10"/>
        <v>5.0000000000000044E-2</v>
      </c>
      <c r="O132" s="27">
        <v>88000</v>
      </c>
      <c r="P132" s="58">
        <f t="shared" si="10"/>
        <v>4.7619047619047672E-2</v>
      </c>
    </row>
    <row r="133" spans="1:18" x14ac:dyDescent="0.3">
      <c r="A133" s="203"/>
      <c r="B133" s="53"/>
      <c r="C133" s="53" t="s">
        <v>96</v>
      </c>
      <c r="D133" s="53"/>
      <c r="E133" s="110"/>
      <c r="F133" s="110"/>
      <c r="G133" s="115">
        <v>300000</v>
      </c>
      <c r="H133" s="73"/>
      <c r="I133" s="52"/>
      <c r="J133" s="27">
        <f>+J134+J136+J140+J142+J138</f>
        <v>126300</v>
      </c>
      <c r="K133" s="27">
        <f>+K134+K136+K140+K142+K138</f>
        <v>145000</v>
      </c>
      <c r="L133" s="58">
        <f t="shared" si="11"/>
        <v>0.1480601741884402</v>
      </c>
      <c r="M133" s="27">
        <f>+M134+M136+M140+M142+M138</f>
        <v>152250</v>
      </c>
      <c r="N133" s="69">
        <f t="shared" si="10"/>
        <v>5.0000000000000044E-2</v>
      </c>
      <c r="O133" s="27">
        <f>+O134+O136+O140+O142+O138</f>
        <v>159500</v>
      </c>
      <c r="P133" s="58">
        <f t="shared" si="10"/>
        <v>4.7619047619047672E-2</v>
      </c>
    </row>
    <row r="134" spans="1:18" x14ac:dyDescent="0.3">
      <c r="A134" s="204"/>
      <c r="B134" s="60"/>
      <c r="C134" s="60"/>
      <c r="D134" s="79" t="s">
        <v>186</v>
      </c>
      <c r="E134" s="79"/>
      <c r="F134" s="80"/>
      <c r="G134" s="96">
        <f>SUM(G135)</f>
        <v>0</v>
      </c>
      <c r="H134" s="91" t="s">
        <v>56</v>
      </c>
      <c r="I134" s="52"/>
      <c r="J134" s="64">
        <f>+J135</f>
        <v>13500</v>
      </c>
      <c r="K134" s="64">
        <f>+K135</f>
        <v>15000</v>
      </c>
      <c r="L134" s="65">
        <f t="shared" si="11"/>
        <v>0.11111111111111116</v>
      </c>
      <c r="M134" s="64">
        <f>+M135</f>
        <v>15750</v>
      </c>
      <c r="N134" s="71">
        <f t="shared" si="10"/>
        <v>5.0000000000000044E-2</v>
      </c>
      <c r="O134" s="64">
        <f>+O135</f>
        <v>16500</v>
      </c>
      <c r="P134" s="71">
        <f t="shared" si="10"/>
        <v>4.7619047619047672E-2</v>
      </c>
    </row>
    <row r="135" spans="1:18" s="68" customFormat="1" x14ac:dyDescent="0.3">
      <c r="A135" s="147" t="s">
        <v>196</v>
      </c>
      <c r="D135" s="117"/>
      <c r="E135" s="26" t="s">
        <v>153</v>
      </c>
      <c r="F135" s="67" t="s">
        <v>168</v>
      </c>
      <c r="G135" s="76"/>
      <c r="H135" s="73"/>
      <c r="I135" s="52"/>
      <c r="J135" s="76">
        <v>13500</v>
      </c>
      <c r="K135" s="27">
        <v>15000</v>
      </c>
      <c r="L135" s="58">
        <f t="shared" si="11"/>
        <v>0.11111111111111116</v>
      </c>
      <c r="M135" s="27">
        <v>15750</v>
      </c>
      <c r="N135" s="69">
        <f t="shared" si="10"/>
        <v>5.0000000000000044E-2</v>
      </c>
      <c r="O135" s="27">
        <v>16500</v>
      </c>
      <c r="P135" s="58">
        <f t="shared" si="10"/>
        <v>4.7619047619047672E-2</v>
      </c>
      <c r="Q135" s="70"/>
      <c r="R135" s="70"/>
    </row>
    <row r="136" spans="1:18" x14ac:dyDescent="0.3">
      <c r="A136" s="204"/>
      <c r="B136" s="60"/>
      <c r="C136" s="60"/>
      <c r="D136" s="79" t="s">
        <v>171</v>
      </c>
      <c r="E136" s="79"/>
      <c r="F136" s="80"/>
      <c r="G136" s="96">
        <f>SUM(G137)</f>
        <v>0</v>
      </c>
      <c r="H136" s="91" t="s">
        <v>56</v>
      </c>
      <c r="I136" s="52"/>
      <c r="J136" s="64">
        <f>+J137</f>
        <v>60000</v>
      </c>
      <c r="K136" s="64">
        <f>+K137</f>
        <v>100000</v>
      </c>
      <c r="L136" s="65">
        <f t="shared" si="11"/>
        <v>0.66666666666666674</v>
      </c>
      <c r="M136" s="64">
        <f>+M137</f>
        <v>105000</v>
      </c>
      <c r="N136" s="71">
        <f t="shared" si="10"/>
        <v>5.0000000000000044E-2</v>
      </c>
      <c r="O136" s="64">
        <f>+O137</f>
        <v>110000</v>
      </c>
      <c r="P136" s="71">
        <f t="shared" si="10"/>
        <v>4.7619047619047672E-2</v>
      </c>
    </row>
    <row r="137" spans="1:18" s="68" customFormat="1" ht="28.8" x14ac:dyDescent="0.3">
      <c r="A137" s="147" t="s">
        <v>197</v>
      </c>
      <c r="D137" s="117"/>
      <c r="E137" s="26" t="s">
        <v>153</v>
      </c>
      <c r="F137" s="67" t="s">
        <v>168</v>
      </c>
      <c r="G137" s="76"/>
      <c r="H137" s="73"/>
      <c r="I137" s="52"/>
      <c r="J137" s="76">
        <v>60000</v>
      </c>
      <c r="K137" s="27">
        <v>100000</v>
      </c>
      <c r="L137" s="58">
        <f t="shared" si="11"/>
        <v>0.66666666666666674</v>
      </c>
      <c r="M137" s="27">
        <v>105000</v>
      </c>
      <c r="N137" s="69">
        <f t="shared" si="10"/>
        <v>5.0000000000000044E-2</v>
      </c>
      <c r="O137" s="27">
        <v>110000</v>
      </c>
      <c r="P137" s="58">
        <f t="shared" si="10"/>
        <v>4.7619047619047672E-2</v>
      </c>
      <c r="Q137" s="70"/>
      <c r="R137" s="70"/>
    </row>
    <row r="138" spans="1:18" s="68" customFormat="1" x14ac:dyDescent="0.3">
      <c r="A138" s="204"/>
      <c r="B138" s="60"/>
      <c r="C138" s="60"/>
      <c r="D138" s="79" t="s">
        <v>97</v>
      </c>
      <c r="E138" s="79"/>
      <c r="F138" s="80"/>
      <c r="G138" s="96">
        <f>SUM(G139)</f>
        <v>0</v>
      </c>
      <c r="H138" s="91" t="s">
        <v>56</v>
      </c>
      <c r="I138" s="52"/>
      <c r="J138" s="64">
        <f>+J139</f>
        <v>17800</v>
      </c>
      <c r="K138" s="64">
        <f>+K139</f>
        <v>0</v>
      </c>
      <c r="L138" s="65">
        <f t="shared" si="11"/>
        <v>-1</v>
      </c>
      <c r="M138" s="64">
        <f>+M139</f>
        <v>0</v>
      </c>
      <c r="N138" s="71"/>
      <c r="O138" s="64">
        <f>+O139</f>
        <v>0</v>
      </c>
      <c r="P138" s="71"/>
      <c r="Q138" s="70"/>
      <c r="R138" s="70"/>
    </row>
    <row r="139" spans="1:18" s="68" customFormat="1" x14ac:dyDescent="0.3">
      <c r="A139" s="147" t="s">
        <v>196</v>
      </c>
      <c r="D139" s="117"/>
      <c r="E139" s="26" t="s">
        <v>153</v>
      </c>
      <c r="F139" s="67" t="s">
        <v>168</v>
      </c>
      <c r="G139" s="76"/>
      <c r="H139" s="73"/>
      <c r="I139" s="52"/>
      <c r="J139" s="76">
        <v>17800</v>
      </c>
      <c r="K139" s="27">
        <v>0</v>
      </c>
      <c r="L139" s="58">
        <f t="shared" si="11"/>
        <v>-1</v>
      </c>
      <c r="M139" s="27">
        <v>0</v>
      </c>
      <c r="N139" s="69"/>
      <c r="O139" s="27">
        <v>0</v>
      </c>
      <c r="P139" s="58"/>
      <c r="Q139" s="70"/>
      <c r="R139" s="70"/>
    </row>
    <row r="140" spans="1:18" x14ac:dyDescent="0.3">
      <c r="A140" s="204"/>
      <c r="B140" s="60"/>
      <c r="C140" s="60"/>
      <c r="D140" s="79" t="s">
        <v>98</v>
      </c>
      <c r="E140" s="79"/>
      <c r="F140" s="80"/>
      <c r="G140" s="96">
        <f>SUM(G141)</f>
        <v>300000</v>
      </c>
      <c r="H140" s="91" t="s">
        <v>56</v>
      </c>
      <c r="I140" s="52"/>
      <c r="J140" s="64">
        <f>+SUM(J141:J141)</f>
        <v>20000</v>
      </c>
      <c r="K140" s="64">
        <f>+SUM(K141:K141)</f>
        <v>20000</v>
      </c>
      <c r="L140" s="65">
        <f t="shared" si="11"/>
        <v>0</v>
      </c>
      <c r="M140" s="64">
        <f>+SUM(M141:M141)</f>
        <v>21000</v>
      </c>
      <c r="N140" s="71">
        <f t="shared" si="10"/>
        <v>5.0000000000000044E-2</v>
      </c>
      <c r="O140" s="64">
        <f>+SUM(O141:O141)</f>
        <v>22000</v>
      </c>
      <c r="P140" s="71">
        <f t="shared" si="10"/>
        <v>4.7619047619047672E-2</v>
      </c>
    </row>
    <row r="141" spans="1:18" x14ac:dyDescent="0.3">
      <c r="A141" s="147" t="s">
        <v>196</v>
      </c>
      <c r="D141" s="66"/>
      <c r="E141" s="26" t="s">
        <v>153</v>
      </c>
      <c r="F141" s="67" t="s">
        <v>168</v>
      </c>
      <c r="G141" s="115">
        <v>300000</v>
      </c>
      <c r="H141" s="89" t="s">
        <v>56</v>
      </c>
      <c r="I141" s="52"/>
      <c r="J141" s="16">
        <v>20000</v>
      </c>
      <c r="K141" s="27">
        <v>20000</v>
      </c>
      <c r="L141" s="58">
        <f t="shared" si="11"/>
        <v>0</v>
      </c>
      <c r="M141" s="27">
        <v>21000</v>
      </c>
      <c r="N141" s="69">
        <f t="shared" si="10"/>
        <v>5.0000000000000044E-2</v>
      </c>
      <c r="O141" s="27">
        <v>22000</v>
      </c>
      <c r="P141" s="58">
        <f t="shared" si="10"/>
        <v>4.7619047619047672E-2</v>
      </c>
    </row>
    <row r="142" spans="1:18" x14ac:dyDescent="0.3">
      <c r="A142" s="204"/>
      <c r="B142" s="60"/>
      <c r="C142" s="60"/>
      <c r="D142" s="79" t="s">
        <v>99</v>
      </c>
      <c r="E142" s="79"/>
      <c r="F142" s="80"/>
      <c r="G142" s="94" t="e">
        <f>G143+G145+G148+#REF!</f>
        <v>#REF!</v>
      </c>
      <c r="H142" s="105" t="e">
        <f>H143</f>
        <v>#REF!</v>
      </c>
      <c r="I142" s="52"/>
      <c r="J142" s="64">
        <f>+J143</f>
        <v>15000</v>
      </c>
      <c r="K142" s="64">
        <f>+K143</f>
        <v>10000</v>
      </c>
      <c r="L142" s="65">
        <f t="shared" si="11"/>
        <v>-0.33333333333333337</v>
      </c>
      <c r="M142" s="64">
        <f>+M143</f>
        <v>10500</v>
      </c>
      <c r="N142" s="71">
        <f t="shared" si="10"/>
        <v>5.0000000000000044E-2</v>
      </c>
      <c r="O142" s="64">
        <f>+O143</f>
        <v>11000</v>
      </c>
      <c r="P142" s="71">
        <f t="shared" si="10"/>
        <v>4.7619047619047672E-2</v>
      </c>
    </row>
    <row r="143" spans="1:18" x14ac:dyDescent="0.3">
      <c r="A143" s="147" t="s">
        <v>196</v>
      </c>
      <c r="D143" s="66"/>
      <c r="E143" s="26">
        <v>32</v>
      </c>
      <c r="F143" s="67" t="s">
        <v>161</v>
      </c>
      <c r="G143" s="96">
        <f>SUM(G144:G144)</f>
        <v>100000</v>
      </c>
      <c r="H143" s="78" t="e">
        <f>#REF!/G143</f>
        <v>#REF!</v>
      </c>
      <c r="I143" s="52"/>
      <c r="J143" s="16">
        <v>15000</v>
      </c>
      <c r="K143" s="27">
        <v>10000</v>
      </c>
      <c r="L143" s="58">
        <f t="shared" si="11"/>
        <v>-0.33333333333333337</v>
      </c>
      <c r="M143" s="27">
        <v>10500</v>
      </c>
      <c r="N143" s="69">
        <f t="shared" si="10"/>
        <v>5.0000000000000044E-2</v>
      </c>
      <c r="O143" s="27">
        <v>11000</v>
      </c>
      <c r="P143" s="58">
        <f t="shared" si="10"/>
        <v>4.7619047619047672E-2</v>
      </c>
    </row>
    <row r="144" spans="1:18" x14ac:dyDescent="0.3">
      <c r="A144" s="203"/>
      <c r="B144" s="53"/>
      <c r="C144" s="110" t="s">
        <v>101</v>
      </c>
      <c r="D144" s="53"/>
      <c r="E144" s="110"/>
      <c r="F144" s="53"/>
      <c r="G144" s="76">
        <v>100000</v>
      </c>
      <c r="H144" s="73" t="e">
        <f>#REF!/G144</f>
        <v>#REF!</v>
      </c>
      <c r="I144" s="52"/>
      <c r="J144" s="27">
        <f>+J145+J147+J149</f>
        <v>109000</v>
      </c>
      <c r="K144" s="27">
        <f>+K145+K147+K149</f>
        <v>120000</v>
      </c>
      <c r="L144" s="58">
        <f t="shared" si="11"/>
        <v>0.10091743119266061</v>
      </c>
      <c r="M144" s="27">
        <f>+M145+M147+M149</f>
        <v>126000</v>
      </c>
      <c r="N144" s="69">
        <f t="shared" si="10"/>
        <v>5.0000000000000044E-2</v>
      </c>
      <c r="O144" s="27">
        <f>+O145+O147+O149</f>
        <v>132000</v>
      </c>
      <c r="P144" s="58">
        <f t="shared" si="10"/>
        <v>4.7619047619047672E-2</v>
      </c>
    </row>
    <row r="145" spans="1:18" x14ac:dyDescent="0.3">
      <c r="A145" s="204"/>
      <c r="B145" s="60"/>
      <c r="C145" s="60"/>
      <c r="D145" s="79" t="s">
        <v>102</v>
      </c>
      <c r="E145" s="79"/>
      <c r="F145" s="80"/>
      <c r="G145" s="96">
        <f>SUM(G146)</f>
        <v>450000</v>
      </c>
      <c r="H145" s="91" t="s">
        <v>56</v>
      </c>
      <c r="I145" s="52"/>
      <c r="J145" s="63">
        <f>+SUM(J146:J146)</f>
        <v>67000</v>
      </c>
      <c r="K145" s="63">
        <f>+SUM(K146:K146)</f>
        <v>70000</v>
      </c>
      <c r="L145" s="65">
        <f t="shared" si="11"/>
        <v>4.4776119402984982E-2</v>
      </c>
      <c r="M145" s="63">
        <f>+SUM(M146:M146)</f>
        <v>73500</v>
      </c>
      <c r="N145" s="71">
        <f t="shared" ref="N145:P202" si="17">+M145/K145-1</f>
        <v>5.0000000000000044E-2</v>
      </c>
      <c r="O145" s="63">
        <f>+SUM(O146:O146)</f>
        <v>77000</v>
      </c>
      <c r="P145" s="71">
        <f t="shared" si="17"/>
        <v>4.7619047619047672E-2</v>
      </c>
    </row>
    <row r="146" spans="1:18" x14ac:dyDescent="0.3">
      <c r="A146" s="147" t="s">
        <v>196</v>
      </c>
      <c r="D146" s="66"/>
      <c r="E146" s="26" t="s">
        <v>150</v>
      </c>
      <c r="F146" s="67" t="s">
        <v>161</v>
      </c>
      <c r="G146" s="76">
        <v>450000</v>
      </c>
      <c r="H146" s="89" t="s">
        <v>56</v>
      </c>
      <c r="I146" s="52"/>
      <c r="J146" s="16">
        <v>67000</v>
      </c>
      <c r="K146" s="27">
        <v>70000</v>
      </c>
      <c r="L146" s="58">
        <f t="shared" si="11"/>
        <v>4.4776119402984982E-2</v>
      </c>
      <c r="M146" s="27">
        <v>73500</v>
      </c>
      <c r="N146" s="69">
        <f t="shared" si="17"/>
        <v>5.0000000000000044E-2</v>
      </c>
      <c r="O146" s="27">
        <v>77000</v>
      </c>
      <c r="P146" s="58">
        <f t="shared" si="17"/>
        <v>4.7619047619047672E-2</v>
      </c>
    </row>
    <row r="147" spans="1:18" x14ac:dyDescent="0.3">
      <c r="A147" s="204"/>
      <c r="B147" s="60"/>
      <c r="C147" s="60"/>
      <c r="D147" s="79" t="s">
        <v>103</v>
      </c>
      <c r="E147" s="79"/>
      <c r="F147" s="80"/>
      <c r="G147" s="76">
        <v>0</v>
      </c>
      <c r="H147" s="89" t="s">
        <v>56</v>
      </c>
      <c r="I147" s="52"/>
      <c r="J147" s="63">
        <f>+J148</f>
        <v>15000</v>
      </c>
      <c r="K147" s="63">
        <f>+K148</f>
        <v>20000</v>
      </c>
      <c r="L147" s="65">
        <f t="shared" si="11"/>
        <v>0.33333333333333326</v>
      </c>
      <c r="M147" s="63">
        <f>+M148</f>
        <v>21000</v>
      </c>
      <c r="N147" s="71">
        <f t="shared" si="17"/>
        <v>5.0000000000000044E-2</v>
      </c>
      <c r="O147" s="63">
        <f>+O148</f>
        <v>22000</v>
      </c>
      <c r="P147" s="71">
        <f t="shared" si="17"/>
        <v>4.7619047619047672E-2</v>
      </c>
    </row>
    <row r="148" spans="1:18" x14ac:dyDescent="0.3">
      <c r="A148" s="147" t="s">
        <v>196</v>
      </c>
      <c r="D148" s="66"/>
      <c r="E148" s="26" t="s">
        <v>153</v>
      </c>
      <c r="F148" s="67" t="s">
        <v>168</v>
      </c>
      <c r="G148" s="96" t="e">
        <f>SUM(#REF!)</f>
        <v>#REF!</v>
      </c>
      <c r="H148" s="78" t="e">
        <f>#REF!/G148</f>
        <v>#REF!</v>
      </c>
      <c r="I148" s="52"/>
      <c r="J148" s="16">
        <v>15000</v>
      </c>
      <c r="K148" s="27">
        <v>20000</v>
      </c>
      <c r="L148" s="58">
        <f t="shared" si="11"/>
        <v>0.33333333333333326</v>
      </c>
      <c r="M148" s="27">
        <v>21000</v>
      </c>
      <c r="N148" s="69">
        <f t="shared" si="17"/>
        <v>5.0000000000000044E-2</v>
      </c>
      <c r="O148" s="27">
        <v>22000</v>
      </c>
      <c r="P148" s="58">
        <f t="shared" si="17"/>
        <v>4.7619047619047672E-2</v>
      </c>
    </row>
    <row r="149" spans="1:18" ht="17.25" customHeight="1" x14ac:dyDescent="0.3">
      <c r="A149" s="204"/>
      <c r="B149" s="60"/>
      <c r="C149" s="60"/>
      <c r="D149" s="79" t="s">
        <v>104</v>
      </c>
      <c r="E149" s="79"/>
      <c r="F149" s="80"/>
      <c r="G149" s="94" t="e">
        <f>G150+G153+G155+G157+#REF!+G167+#REF!+G163+G161+G151</f>
        <v>#REF!</v>
      </c>
      <c r="H149" s="105" t="e">
        <f>#REF!/G149</f>
        <v>#REF!</v>
      </c>
      <c r="I149" s="52"/>
      <c r="J149" s="63">
        <f>+J150</f>
        <v>27000</v>
      </c>
      <c r="K149" s="63">
        <f>+K150</f>
        <v>30000</v>
      </c>
      <c r="L149" s="65">
        <f t="shared" si="11"/>
        <v>0.11111111111111116</v>
      </c>
      <c r="M149" s="63">
        <f>+M150</f>
        <v>31500</v>
      </c>
      <c r="N149" s="71">
        <f t="shared" si="17"/>
        <v>5.0000000000000044E-2</v>
      </c>
      <c r="O149" s="63">
        <f>+O150</f>
        <v>33000</v>
      </c>
      <c r="P149" s="71">
        <f t="shared" si="17"/>
        <v>4.7619047619047672E-2</v>
      </c>
    </row>
    <row r="150" spans="1:18" x14ac:dyDescent="0.3">
      <c r="A150" s="147" t="s">
        <v>196</v>
      </c>
      <c r="B150" s="84"/>
      <c r="C150" s="84"/>
      <c r="D150" s="86"/>
      <c r="E150" s="26" t="s">
        <v>153</v>
      </c>
      <c r="F150" s="67" t="s">
        <v>168</v>
      </c>
      <c r="G150" s="96" t="e">
        <f>SUM(#REF!)</f>
        <v>#REF!</v>
      </c>
      <c r="H150" s="78" t="e">
        <f>#REF!/G150</f>
        <v>#REF!</v>
      </c>
      <c r="I150" s="52"/>
      <c r="J150" s="16">
        <v>27000</v>
      </c>
      <c r="K150" s="27">
        <v>30000</v>
      </c>
      <c r="L150" s="58">
        <f t="shared" si="11"/>
        <v>0.11111111111111116</v>
      </c>
      <c r="M150" s="27">
        <v>31500</v>
      </c>
      <c r="N150" s="69">
        <f t="shared" si="17"/>
        <v>5.0000000000000044E-2</v>
      </c>
      <c r="O150" s="27">
        <v>33000</v>
      </c>
      <c r="P150" s="58">
        <f t="shared" si="17"/>
        <v>4.7619047619047672E-2</v>
      </c>
    </row>
    <row r="151" spans="1:18" x14ac:dyDescent="0.3">
      <c r="A151" s="203"/>
      <c r="B151" s="53"/>
      <c r="C151" s="110" t="s">
        <v>106</v>
      </c>
      <c r="D151" s="53"/>
      <c r="E151" s="110"/>
      <c r="F151" s="53"/>
      <c r="G151" s="96">
        <f>SUM(G152:G152)</f>
        <v>0</v>
      </c>
      <c r="H151" s="91" t="s">
        <v>56</v>
      </c>
      <c r="I151" s="52"/>
      <c r="J151" s="27">
        <f>+J152+J154+J156+J158+J160+J162+J164+J166+J168+J170</f>
        <v>79100</v>
      </c>
      <c r="K151" s="27">
        <f>+K152+K154+K156+K158+K160+K162+K164+K166+K168+K170</f>
        <v>107400</v>
      </c>
      <c r="L151" s="58">
        <f t="shared" si="11"/>
        <v>0.35777496839443734</v>
      </c>
      <c r="M151" s="27">
        <f>+M152+M154+M156+M158+M160+M162+M164+M166+M168+M170</f>
        <v>112770</v>
      </c>
      <c r="N151" s="69">
        <f t="shared" si="17"/>
        <v>5.0000000000000044E-2</v>
      </c>
      <c r="O151" s="27">
        <f>+O152+O154+O156+O158+O160+O162+O164+O166+O168+O170</f>
        <v>118140</v>
      </c>
      <c r="P151" s="58">
        <f t="shared" si="17"/>
        <v>4.7619047619047672E-2</v>
      </c>
    </row>
    <row r="152" spans="1:18" x14ac:dyDescent="0.3">
      <c r="A152" s="204"/>
      <c r="B152" s="60"/>
      <c r="C152" s="60"/>
      <c r="D152" s="79" t="s">
        <v>107</v>
      </c>
      <c r="E152" s="79"/>
      <c r="F152" s="80"/>
      <c r="G152" s="76">
        <v>0</v>
      </c>
      <c r="H152" s="89" t="s">
        <v>56</v>
      </c>
      <c r="I152" s="52"/>
      <c r="J152" s="64">
        <f>+J153</f>
        <v>3400</v>
      </c>
      <c r="K152" s="64">
        <f>+K153</f>
        <v>4000</v>
      </c>
      <c r="L152" s="65">
        <f t="shared" si="11"/>
        <v>0.17647058823529416</v>
      </c>
      <c r="M152" s="64">
        <f>+M153</f>
        <v>4200</v>
      </c>
      <c r="N152" s="71">
        <f t="shared" si="17"/>
        <v>5.0000000000000044E-2</v>
      </c>
      <c r="O152" s="64">
        <f>+O153</f>
        <v>4400</v>
      </c>
      <c r="P152" s="71">
        <f t="shared" si="17"/>
        <v>4.7619047619047672E-2</v>
      </c>
    </row>
    <row r="153" spans="1:18" x14ac:dyDescent="0.3">
      <c r="A153" s="147" t="s">
        <v>196</v>
      </c>
      <c r="D153" s="66"/>
      <c r="E153" s="26" t="s">
        <v>150</v>
      </c>
      <c r="F153" s="67" t="s">
        <v>161</v>
      </c>
      <c r="G153" s="96">
        <f>SUM(G154)</f>
        <v>10000</v>
      </c>
      <c r="H153" s="78" t="e">
        <f>#REF!/G153</f>
        <v>#REF!</v>
      </c>
      <c r="I153" s="52"/>
      <c r="J153" s="16">
        <v>3400</v>
      </c>
      <c r="K153" s="27">
        <v>4000</v>
      </c>
      <c r="L153" s="58">
        <f t="shared" si="11"/>
        <v>0.17647058823529416</v>
      </c>
      <c r="M153" s="27">
        <v>4200</v>
      </c>
      <c r="N153" s="69">
        <f t="shared" si="17"/>
        <v>5.0000000000000044E-2</v>
      </c>
      <c r="O153" s="27">
        <v>4400</v>
      </c>
      <c r="P153" s="58">
        <f t="shared" si="17"/>
        <v>4.7619047619047672E-2</v>
      </c>
    </row>
    <row r="154" spans="1:18" x14ac:dyDescent="0.3">
      <c r="A154" s="204"/>
      <c r="B154" s="60"/>
      <c r="C154" s="60"/>
      <c r="D154" s="79" t="s">
        <v>108</v>
      </c>
      <c r="E154" s="79"/>
      <c r="F154" s="80"/>
      <c r="G154" s="76">
        <v>10000</v>
      </c>
      <c r="H154" s="73" t="e">
        <f>#REF!/G154</f>
        <v>#REF!</v>
      </c>
      <c r="I154" s="52"/>
      <c r="J154" s="64">
        <f>+J155</f>
        <v>6500</v>
      </c>
      <c r="K154" s="64">
        <f>+K155</f>
        <v>10000</v>
      </c>
      <c r="L154" s="65">
        <f t="shared" si="11"/>
        <v>0.53846153846153855</v>
      </c>
      <c r="M154" s="64">
        <f>+M155</f>
        <v>10500</v>
      </c>
      <c r="N154" s="71">
        <f t="shared" si="17"/>
        <v>5.0000000000000044E-2</v>
      </c>
      <c r="O154" s="64">
        <f>+O155</f>
        <v>11000</v>
      </c>
      <c r="P154" s="71">
        <f t="shared" si="17"/>
        <v>4.7619047619047672E-2</v>
      </c>
    </row>
    <row r="155" spans="1:18" x14ac:dyDescent="0.3">
      <c r="A155" s="147" t="s">
        <v>196</v>
      </c>
      <c r="D155" s="66"/>
      <c r="E155" s="26" t="s">
        <v>150</v>
      </c>
      <c r="F155" s="67" t="s">
        <v>161</v>
      </c>
      <c r="G155" s="96">
        <f>SUM(G156)</f>
        <v>10000</v>
      </c>
      <c r="H155" s="78" t="e">
        <f>#REF!/G155</f>
        <v>#REF!</v>
      </c>
      <c r="I155" s="52"/>
      <c r="J155" s="16">
        <v>6500</v>
      </c>
      <c r="K155" s="27">
        <v>10000</v>
      </c>
      <c r="L155" s="58">
        <f t="shared" si="11"/>
        <v>0.53846153846153855</v>
      </c>
      <c r="M155" s="27">
        <v>10500</v>
      </c>
      <c r="N155" s="69">
        <f t="shared" si="17"/>
        <v>5.0000000000000044E-2</v>
      </c>
      <c r="O155" s="27">
        <v>11000</v>
      </c>
      <c r="P155" s="58">
        <f t="shared" si="17"/>
        <v>4.7619047619047672E-2</v>
      </c>
    </row>
    <row r="156" spans="1:18" s="85" customFormat="1" ht="24" customHeight="1" x14ac:dyDescent="0.3">
      <c r="A156" s="205"/>
      <c r="B156" s="60"/>
      <c r="C156" s="60"/>
      <c r="D156" s="79" t="s">
        <v>109</v>
      </c>
      <c r="E156" s="79"/>
      <c r="F156" s="80"/>
      <c r="G156" s="98">
        <v>10000</v>
      </c>
      <c r="H156" s="73" t="e">
        <f>#REF!/G156</f>
        <v>#REF!</v>
      </c>
      <c r="I156" s="52"/>
      <c r="J156" s="64">
        <f>+J157</f>
        <v>1400</v>
      </c>
      <c r="K156" s="64">
        <f>+K157</f>
        <v>1400</v>
      </c>
      <c r="L156" s="65">
        <f t="shared" si="11"/>
        <v>0</v>
      </c>
      <c r="M156" s="64">
        <f>+M157</f>
        <v>1470</v>
      </c>
      <c r="N156" s="71">
        <f t="shared" si="17"/>
        <v>5.0000000000000044E-2</v>
      </c>
      <c r="O156" s="64">
        <f>+O157</f>
        <v>1540</v>
      </c>
      <c r="P156" s="71">
        <f t="shared" si="17"/>
        <v>4.7619047619047672E-2</v>
      </c>
      <c r="Q156" s="90"/>
      <c r="R156" s="90"/>
    </row>
    <row r="157" spans="1:18" x14ac:dyDescent="0.3">
      <c r="A157" s="147" t="s">
        <v>196</v>
      </c>
      <c r="D157" s="66"/>
      <c r="E157" s="26" t="s">
        <v>157</v>
      </c>
      <c r="F157" s="87" t="s">
        <v>167</v>
      </c>
      <c r="G157" s="96" t="e">
        <f>SUM(#REF!)</f>
        <v>#REF!</v>
      </c>
      <c r="H157" s="78" t="e">
        <f>#REF!/G157</f>
        <v>#REF!</v>
      </c>
      <c r="I157" s="52"/>
      <c r="J157" s="16">
        <v>1400</v>
      </c>
      <c r="K157" s="27">
        <v>1400</v>
      </c>
      <c r="L157" s="58">
        <f t="shared" si="11"/>
        <v>0</v>
      </c>
      <c r="M157" s="27">
        <v>1470</v>
      </c>
      <c r="N157" s="69">
        <f t="shared" si="17"/>
        <v>5.0000000000000044E-2</v>
      </c>
      <c r="O157" s="27">
        <v>1540</v>
      </c>
      <c r="P157" s="58">
        <f t="shared" si="17"/>
        <v>4.7619047619047672E-2</v>
      </c>
    </row>
    <row r="158" spans="1:18" s="25" customFormat="1" x14ac:dyDescent="0.3">
      <c r="A158" s="205"/>
      <c r="B158" s="60"/>
      <c r="C158" s="60"/>
      <c r="D158" s="79" t="s">
        <v>110</v>
      </c>
      <c r="E158" s="79"/>
      <c r="F158" s="80"/>
      <c r="G158" s="76">
        <v>100000</v>
      </c>
      <c r="H158" s="73">
        <v>0</v>
      </c>
      <c r="I158" s="52"/>
      <c r="J158" s="64">
        <f>+J159</f>
        <v>5000</v>
      </c>
      <c r="K158" s="64">
        <f>+K159</f>
        <v>0</v>
      </c>
      <c r="L158" s="65">
        <f t="shared" si="11"/>
        <v>-1</v>
      </c>
      <c r="M158" s="64">
        <f>+M159</f>
        <v>0</v>
      </c>
      <c r="N158" s="71"/>
      <c r="O158" s="64">
        <f>+O159</f>
        <v>0</v>
      </c>
      <c r="P158" s="71"/>
    </row>
    <row r="159" spans="1:18" s="25" customFormat="1" x14ac:dyDescent="0.3">
      <c r="A159" s="149" t="s">
        <v>200</v>
      </c>
      <c r="B159" s="84"/>
      <c r="C159" s="84"/>
      <c r="D159" s="86"/>
      <c r="E159" s="26" t="s">
        <v>155</v>
      </c>
      <c r="F159" s="67" t="s">
        <v>166</v>
      </c>
      <c r="G159" s="96"/>
      <c r="H159" s="111"/>
      <c r="I159" s="52"/>
      <c r="J159" s="16">
        <v>5000</v>
      </c>
      <c r="K159" s="27">
        <v>0</v>
      </c>
      <c r="L159" s="58">
        <f t="shared" si="11"/>
        <v>-1</v>
      </c>
      <c r="M159" s="27">
        <f t="shared" ref="M159" si="18">+K159*1.05</f>
        <v>0</v>
      </c>
      <c r="N159" s="69"/>
      <c r="O159" s="27">
        <v>0</v>
      </c>
      <c r="P159" s="58"/>
    </row>
    <row r="160" spans="1:18" s="25" customFormat="1" x14ac:dyDescent="0.3">
      <c r="A160" s="205"/>
      <c r="B160" s="60"/>
      <c r="C160" s="60"/>
      <c r="D160" s="79" t="s">
        <v>111</v>
      </c>
      <c r="E160" s="79"/>
      <c r="F160" s="80"/>
      <c r="G160" s="76">
        <v>100000</v>
      </c>
      <c r="H160" s="73">
        <v>0</v>
      </c>
      <c r="I160" s="52"/>
      <c r="J160" s="64">
        <f>+J161</f>
        <v>7000</v>
      </c>
      <c r="K160" s="64">
        <f>+K161</f>
        <v>15000</v>
      </c>
      <c r="L160" s="65">
        <f t="shared" si="11"/>
        <v>1.1428571428571428</v>
      </c>
      <c r="M160" s="64">
        <f>+M161</f>
        <v>15750</v>
      </c>
      <c r="N160" s="71">
        <f t="shared" si="17"/>
        <v>5.0000000000000044E-2</v>
      </c>
      <c r="O160" s="64">
        <f>+O161</f>
        <v>16500</v>
      </c>
      <c r="P160" s="71">
        <f t="shared" si="17"/>
        <v>4.7619047619047672E-2</v>
      </c>
    </row>
    <row r="161" spans="1:16" s="25" customFormat="1" x14ac:dyDescent="0.3">
      <c r="A161" s="147" t="s">
        <v>196</v>
      </c>
      <c r="B161" s="26"/>
      <c r="C161" s="26"/>
      <c r="D161" s="66"/>
      <c r="E161" s="26" t="s">
        <v>150</v>
      </c>
      <c r="F161" s="67" t="s">
        <v>161</v>
      </c>
      <c r="G161" s="96">
        <f>SUM(G162)</f>
        <v>0</v>
      </c>
      <c r="H161" s="111">
        <f>SUM(H162)</f>
        <v>0</v>
      </c>
      <c r="I161" s="52"/>
      <c r="J161" s="16">
        <v>7000</v>
      </c>
      <c r="K161" s="27">
        <v>15000</v>
      </c>
      <c r="L161" s="58">
        <f t="shared" si="11"/>
        <v>1.1428571428571428</v>
      </c>
      <c r="M161" s="27">
        <v>15750</v>
      </c>
      <c r="N161" s="69">
        <f t="shared" si="17"/>
        <v>5.0000000000000044E-2</v>
      </c>
      <c r="O161" s="27">
        <v>16500</v>
      </c>
      <c r="P161" s="58">
        <f t="shared" si="17"/>
        <v>4.7619047619047672E-2</v>
      </c>
    </row>
    <row r="162" spans="1:16" s="25" customFormat="1" x14ac:dyDescent="0.3">
      <c r="A162" s="204"/>
      <c r="B162" s="60"/>
      <c r="C162" s="60"/>
      <c r="D162" s="79" t="s">
        <v>112</v>
      </c>
      <c r="E162" s="79"/>
      <c r="F162" s="80"/>
      <c r="G162" s="76">
        <v>0</v>
      </c>
      <c r="H162" s="73">
        <v>0</v>
      </c>
      <c r="I162" s="52"/>
      <c r="J162" s="64">
        <f>+J163</f>
        <v>13300</v>
      </c>
      <c r="K162" s="64">
        <f>+K163</f>
        <v>20000</v>
      </c>
      <c r="L162" s="65">
        <f t="shared" si="11"/>
        <v>0.50375939849624052</v>
      </c>
      <c r="M162" s="64">
        <f>+M163</f>
        <v>21000</v>
      </c>
      <c r="N162" s="71">
        <f t="shared" si="17"/>
        <v>5.0000000000000044E-2</v>
      </c>
      <c r="O162" s="64">
        <f>+O163</f>
        <v>22000</v>
      </c>
      <c r="P162" s="71">
        <f t="shared" si="17"/>
        <v>4.7619047619047672E-2</v>
      </c>
    </row>
    <row r="163" spans="1:16" s="25" customFormat="1" x14ac:dyDescent="0.3">
      <c r="A163" s="147" t="s">
        <v>196</v>
      </c>
      <c r="B163" s="26"/>
      <c r="C163" s="26"/>
      <c r="D163" s="66"/>
      <c r="E163" s="26" t="s">
        <v>158</v>
      </c>
      <c r="F163" s="67" t="s">
        <v>164</v>
      </c>
      <c r="G163" s="96">
        <f>SUM(G166)</f>
        <v>0</v>
      </c>
      <c r="H163" s="111">
        <f>SUM(H166)</f>
        <v>0</v>
      </c>
      <c r="I163" s="52"/>
      <c r="J163" s="16">
        <v>13300</v>
      </c>
      <c r="K163" s="27">
        <v>20000</v>
      </c>
      <c r="L163" s="58">
        <f t="shared" si="11"/>
        <v>0.50375939849624052</v>
      </c>
      <c r="M163" s="27">
        <v>21000</v>
      </c>
      <c r="N163" s="69">
        <f t="shared" si="17"/>
        <v>5.0000000000000044E-2</v>
      </c>
      <c r="O163" s="27">
        <v>22000</v>
      </c>
      <c r="P163" s="58">
        <f t="shared" si="17"/>
        <v>4.7619047619047672E-2</v>
      </c>
    </row>
    <row r="164" spans="1:16" s="25" customFormat="1" x14ac:dyDescent="0.3">
      <c r="A164" s="204"/>
      <c r="B164" s="60"/>
      <c r="C164" s="60"/>
      <c r="D164" s="79" t="s">
        <v>113</v>
      </c>
      <c r="E164" s="79"/>
      <c r="F164" s="80"/>
      <c r="G164" s="76">
        <v>0</v>
      </c>
      <c r="H164" s="73">
        <v>0</v>
      </c>
      <c r="I164" s="52"/>
      <c r="J164" s="64">
        <f>+J165</f>
        <v>18500</v>
      </c>
      <c r="K164" s="64">
        <f>+K165</f>
        <v>20000</v>
      </c>
      <c r="L164" s="65">
        <f t="shared" si="11"/>
        <v>8.1081081081081141E-2</v>
      </c>
      <c r="M164" s="64">
        <f>+M165</f>
        <v>21000</v>
      </c>
      <c r="N164" s="71">
        <f t="shared" si="17"/>
        <v>5.0000000000000044E-2</v>
      </c>
      <c r="O164" s="64">
        <f>+O165</f>
        <v>22000</v>
      </c>
      <c r="P164" s="71">
        <f t="shared" si="17"/>
        <v>4.7619047619047672E-2</v>
      </c>
    </row>
    <row r="165" spans="1:16" s="25" customFormat="1" x14ac:dyDescent="0.3">
      <c r="A165" s="147" t="s">
        <v>196</v>
      </c>
      <c r="B165" s="26"/>
      <c r="C165" s="26"/>
      <c r="D165" s="66"/>
      <c r="E165" s="26" t="s">
        <v>158</v>
      </c>
      <c r="F165" s="67" t="s">
        <v>164</v>
      </c>
      <c r="G165" s="96"/>
      <c r="H165" s="111"/>
      <c r="I165" s="52"/>
      <c r="J165" s="16">
        <v>18500</v>
      </c>
      <c r="K165" s="27">
        <v>20000</v>
      </c>
      <c r="L165" s="58">
        <f t="shared" si="11"/>
        <v>8.1081081081081141E-2</v>
      </c>
      <c r="M165" s="27">
        <v>21000</v>
      </c>
      <c r="N165" s="69">
        <f t="shared" si="17"/>
        <v>5.0000000000000044E-2</v>
      </c>
      <c r="O165" s="27">
        <v>22000</v>
      </c>
      <c r="P165" s="58">
        <f t="shared" si="17"/>
        <v>4.7619047619047672E-2</v>
      </c>
    </row>
    <row r="166" spans="1:16" s="25" customFormat="1" x14ac:dyDescent="0.3">
      <c r="A166" s="204"/>
      <c r="B166" s="60"/>
      <c r="C166" s="60"/>
      <c r="D166" s="79" t="s">
        <v>114</v>
      </c>
      <c r="E166" s="79"/>
      <c r="F166" s="80"/>
      <c r="G166" s="76">
        <v>0</v>
      </c>
      <c r="H166" s="73">
        <v>0</v>
      </c>
      <c r="I166" s="52"/>
      <c r="J166" s="64">
        <f>+J167</f>
        <v>1400</v>
      </c>
      <c r="K166" s="64">
        <f>+K167</f>
        <v>2000</v>
      </c>
      <c r="L166" s="65">
        <f t="shared" si="11"/>
        <v>0.4285714285714286</v>
      </c>
      <c r="M166" s="64">
        <f>+M167</f>
        <v>2100</v>
      </c>
      <c r="N166" s="71">
        <f t="shared" si="17"/>
        <v>5.0000000000000044E-2</v>
      </c>
      <c r="O166" s="64">
        <f>+O167</f>
        <v>2200</v>
      </c>
      <c r="P166" s="71">
        <f t="shared" si="17"/>
        <v>4.7619047619047672E-2</v>
      </c>
    </row>
    <row r="167" spans="1:16" s="25" customFormat="1" x14ac:dyDescent="0.3">
      <c r="A167" s="147" t="s">
        <v>196</v>
      </c>
      <c r="B167" s="26"/>
      <c r="C167" s="26"/>
      <c r="D167" s="86"/>
      <c r="E167" s="26" t="s">
        <v>153</v>
      </c>
      <c r="F167" s="67" t="s">
        <v>168</v>
      </c>
      <c r="G167" s="96" t="e">
        <f>SUM(#REF!)</f>
        <v>#REF!</v>
      </c>
      <c r="H167" s="111" t="e">
        <f>SUM(#REF!)</f>
        <v>#REF!</v>
      </c>
      <c r="I167" s="52"/>
      <c r="J167" s="16">
        <v>1400</v>
      </c>
      <c r="K167" s="27">
        <v>2000</v>
      </c>
      <c r="L167" s="58">
        <f t="shared" ref="L167:P226" si="19">+K167/J167-1</f>
        <v>0.4285714285714286</v>
      </c>
      <c r="M167" s="27">
        <v>2100</v>
      </c>
      <c r="N167" s="69">
        <f t="shared" si="17"/>
        <v>5.0000000000000044E-2</v>
      </c>
      <c r="O167" s="27">
        <v>2200</v>
      </c>
      <c r="P167" s="58">
        <f t="shared" si="17"/>
        <v>4.7619047619047672E-2</v>
      </c>
    </row>
    <row r="168" spans="1:16" s="25" customFormat="1" x14ac:dyDescent="0.3">
      <c r="A168" s="204"/>
      <c r="B168" s="60"/>
      <c r="C168" s="60"/>
      <c r="D168" s="79" t="s">
        <v>115</v>
      </c>
      <c r="E168" s="79"/>
      <c r="F168" s="80"/>
      <c r="G168" s="76"/>
      <c r="H168" s="73">
        <v>0</v>
      </c>
      <c r="I168" s="52"/>
      <c r="J168" s="64">
        <f>+J169</f>
        <v>16000</v>
      </c>
      <c r="K168" s="64">
        <f>+K169</f>
        <v>15000</v>
      </c>
      <c r="L168" s="65">
        <f t="shared" si="19"/>
        <v>-6.25E-2</v>
      </c>
      <c r="M168" s="64">
        <f>+M169</f>
        <v>15750</v>
      </c>
      <c r="N168" s="71">
        <f t="shared" si="17"/>
        <v>5.0000000000000044E-2</v>
      </c>
      <c r="O168" s="64">
        <f>+O169</f>
        <v>16500</v>
      </c>
      <c r="P168" s="71">
        <f t="shared" si="17"/>
        <v>4.7619047619047672E-2</v>
      </c>
    </row>
    <row r="169" spans="1:16" s="25" customFormat="1" x14ac:dyDescent="0.3">
      <c r="A169" s="147" t="s">
        <v>196</v>
      </c>
      <c r="B169" s="26"/>
      <c r="C169" s="26"/>
      <c r="D169" s="66"/>
      <c r="E169" s="26" t="s">
        <v>153</v>
      </c>
      <c r="F169" s="67" t="s">
        <v>168</v>
      </c>
      <c r="G169" s="92" t="e">
        <f>G170+G187+G192</f>
        <v>#REF!</v>
      </c>
      <c r="H169" s="102" t="e">
        <f>#REF!/G169</f>
        <v>#REF!</v>
      </c>
      <c r="I169" s="52"/>
      <c r="J169" s="16">
        <v>16000</v>
      </c>
      <c r="K169" s="27">
        <v>15000</v>
      </c>
      <c r="L169" s="58">
        <f t="shared" si="19"/>
        <v>-6.25E-2</v>
      </c>
      <c r="M169" s="27">
        <v>15750</v>
      </c>
      <c r="N169" s="69">
        <f t="shared" si="17"/>
        <v>5.0000000000000044E-2</v>
      </c>
      <c r="O169" s="27">
        <v>16500</v>
      </c>
      <c r="P169" s="58">
        <f t="shared" si="17"/>
        <v>4.7619047619047672E-2</v>
      </c>
    </row>
    <row r="170" spans="1:16" s="25" customFormat="1" x14ac:dyDescent="0.3">
      <c r="A170" s="204"/>
      <c r="B170" s="60"/>
      <c r="C170" s="60"/>
      <c r="D170" s="79" t="s">
        <v>116</v>
      </c>
      <c r="E170" s="79"/>
      <c r="F170" s="80"/>
      <c r="G170" s="94" t="e">
        <f>G171+#REF!+G179+G175+#REF!+G183+G173</f>
        <v>#REF!</v>
      </c>
      <c r="H170" s="105" t="e">
        <f>#REF!/G170</f>
        <v>#REF!</v>
      </c>
      <c r="I170" s="52"/>
      <c r="J170" s="64">
        <f>+SUM(J171:J172)</f>
        <v>6600</v>
      </c>
      <c r="K170" s="64">
        <f>+SUM(K171:K172)</f>
        <v>20000</v>
      </c>
      <c r="L170" s="65">
        <f t="shared" si="19"/>
        <v>2.0303030303030303</v>
      </c>
      <c r="M170" s="64">
        <f>+SUM(M171:M172)</f>
        <v>21000</v>
      </c>
      <c r="N170" s="71">
        <f t="shared" si="17"/>
        <v>5.0000000000000044E-2</v>
      </c>
      <c r="O170" s="64">
        <f>+SUM(O171:O172)</f>
        <v>22000</v>
      </c>
      <c r="P170" s="71">
        <f t="shared" si="17"/>
        <v>4.7619047619047672E-2</v>
      </c>
    </row>
    <row r="171" spans="1:16" s="25" customFormat="1" x14ac:dyDescent="0.3">
      <c r="A171" s="147" t="s">
        <v>196</v>
      </c>
      <c r="B171" s="26"/>
      <c r="C171" s="26"/>
      <c r="D171" s="66"/>
      <c r="E171" s="26" t="s">
        <v>157</v>
      </c>
      <c r="F171" s="87" t="s">
        <v>167</v>
      </c>
      <c r="G171" s="96" t="e">
        <f>#REF!</f>
        <v>#REF!</v>
      </c>
      <c r="H171" s="78" t="e">
        <f>#REF!/G171</f>
        <v>#REF!</v>
      </c>
      <c r="I171" s="52"/>
      <c r="J171" s="16">
        <v>6600</v>
      </c>
      <c r="K171" s="27">
        <v>18000</v>
      </c>
      <c r="L171" s="58">
        <f t="shared" si="19"/>
        <v>1.7272727272727271</v>
      </c>
      <c r="M171" s="27">
        <v>18900</v>
      </c>
      <c r="N171" s="69">
        <f t="shared" si="17"/>
        <v>5.0000000000000044E-2</v>
      </c>
      <c r="O171" s="27">
        <v>19800</v>
      </c>
      <c r="P171" s="58">
        <f t="shared" si="17"/>
        <v>4.7619047619047672E-2</v>
      </c>
    </row>
    <row r="172" spans="1:16" s="25" customFormat="1" x14ac:dyDescent="0.3">
      <c r="A172" s="147" t="s">
        <v>196</v>
      </c>
      <c r="B172" s="26"/>
      <c r="C172" s="26"/>
      <c r="D172" s="66"/>
      <c r="E172" s="26" t="s">
        <v>150</v>
      </c>
      <c r="F172" s="67" t="s">
        <v>161</v>
      </c>
      <c r="G172" s="96"/>
      <c r="H172" s="78"/>
      <c r="I172" s="52"/>
      <c r="J172" s="16">
        <v>0</v>
      </c>
      <c r="K172" s="27">
        <v>2000</v>
      </c>
      <c r="L172" s="58"/>
      <c r="M172" s="27">
        <v>2100</v>
      </c>
      <c r="N172" s="69"/>
      <c r="O172" s="27">
        <v>2200</v>
      </c>
      <c r="P172" s="58"/>
    </row>
    <row r="173" spans="1:16" s="25" customFormat="1" x14ac:dyDescent="0.3">
      <c r="A173" s="203"/>
      <c r="B173" s="53"/>
      <c r="C173" s="53" t="s">
        <v>118</v>
      </c>
      <c r="D173" s="53"/>
      <c r="E173" s="53"/>
      <c r="F173" s="53"/>
      <c r="G173" s="96"/>
      <c r="H173" s="94" t="e">
        <f>H174+#REF!+H178+H180+H182+H186</f>
        <v>#REF!</v>
      </c>
      <c r="I173" s="52"/>
      <c r="J173" s="27">
        <f>+J174+J178+J180+J182+J184+J186+J176</f>
        <v>42800</v>
      </c>
      <c r="K173" s="27">
        <f>+K174+K178+K180+K182+K184+K186+K176</f>
        <v>103400</v>
      </c>
      <c r="L173" s="58">
        <f t="shared" si="19"/>
        <v>1.4158878504672896</v>
      </c>
      <c r="M173" s="27">
        <f>+M174+M178+M180+M182+M184+M186+M176</f>
        <v>108570</v>
      </c>
      <c r="N173" s="69">
        <f t="shared" si="17"/>
        <v>5.0000000000000044E-2</v>
      </c>
      <c r="O173" s="27">
        <f>+O174+O178+O180+O182+O184+O186+O176</f>
        <v>113740</v>
      </c>
      <c r="P173" s="58">
        <f t="shared" si="17"/>
        <v>4.7619047619047672E-2</v>
      </c>
    </row>
    <row r="174" spans="1:16" s="25" customFormat="1" x14ac:dyDescent="0.3">
      <c r="A174" s="204"/>
      <c r="B174" s="60"/>
      <c r="C174" s="60"/>
      <c r="D174" s="60" t="s">
        <v>119</v>
      </c>
      <c r="E174" s="60"/>
      <c r="F174" s="59"/>
      <c r="G174" s="76"/>
      <c r="H174" s="96" t="e">
        <f>SUM(H175:H175)</f>
        <v>#REF!</v>
      </c>
      <c r="I174" s="52"/>
      <c r="J174" s="64">
        <f>+J175</f>
        <v>5400</v>
      </c>
      <c r="K174" s="64">
        <f>+K175</f>
        <v>30000</v>
      </c>
      <c r="L174" s="65">
        <f t="shared" si="19"/>
        <v>4.5555555555555554</v>
      </c>
      <c r="M174" s="64">
        <f>+M175</f>
        <v>31500</v>
      </c>
      <c r="N174" s="71">
        <f t="shared" si="17"/>
        <v>5.0000000000000044E-2</v>
      </c>
      <c r="O174" s="64">
        <f>+O175</f>
        <v>33000</v>
      </c>
      <c r="P174" s="71">
        <f t="shared" si="17"/>
        <v>4.7619047619047672E-2</v>
      </c>
    </row>
    <row r="175" spans="1:16" s="25" customFormat="1" x14ac:dyDescent="0.3">
      <c r="A175" s="149" t="s">
        <v>200</v>
      </c>
      <c r="B175" s="26"/>
      <c r="C175" s="26"/>
      <c r="D175" s="66"/>
      <c r="E175" s="26" t="s">
        <v>155</v>
      </c>
      <c r="F175" s="67" t="s">
        <v>166</v>
      </c>
      <c r="G175" s="96" t="e">
        <f>SUM(#REF!)</f>
        <v>#REF!</v>
      </c>
      <c r="H175" s="91" t="e">
        <f>#REF!</f>
        <v>#REF!</v>
      </c>
      <c r="I175" s="52"/>
      <c r="J175" s="76">
        <v>5400</v>
      </c>
      <c r="K175" s="27">
        <v>30000</v>
      </c>
      <c r="L175" s="58">
        <f t="shared" si="19"/>
        <v>4.5555555555555554</v>
      </c>
      <c r="M175" s="27">
        <v>31500</v>
      </c>
      <c r="N175" s="69">
        <f t="shared" si="17"/>
        <v>5.0000000000000044E-2</v>
      </c>
      <c r="O175" s="27">
        <v>33000</v>
      </c>
      <c r="P175" s="58">
        <f t="shared" si="17"/>
        <v>4.7619047619047672E-2</v>
      </c>
    </row>
    <row r="176" spans="1:16" s="25" customFormat="1" x14ac:dyDescent="0.3">
      <c r="A176" s="204"/>
      <c r="B176" s="60"/>
      <c r="C176" s="60"/>
      <c r="D176" s="60" t="s">
        <v>120</v>
      </c>
      <c r="E176" s="60"/>
      <c r="F176" s="59"/>
      <c r="G176" s="118">
        <v>20000</v>
      </c>
      <c r="H176" s="119" t="e">
        <f>#REF!/G176</f>
        <v>#REF!</v>
      </c>
      <c r="I176" s="120"/>
      <c r="J176" s="64">
        <f>+J177</f>
        <v>1400</v>
      </c>
      <c r="K176" s="64">
        <f>+K177</f>
        <v>0</v>
      </c>
      <c r="L176" s="65">
        <f t="shared" si="19"/>
        <v>-1</v>
      </c>
      <c r="M176" s="64">
        <f>+M177</f>
        <v>0</v>
      </c>
      <c r="N176" s="71"/>
      <c r="O176" s="64">
        <f>+O177</f>
        <v>0</v>
      </c>
      <c r="P176" s="71"/>
    </row>
    <row r="177" spans="1:18" s="25" customFormat="1" x14ac:dyDescent="0.3">
      <c r="A177" s="149" t="s">
        <v>200</v>
      </c>
      <c r="B177" s="121"/>
      <c r="C177" s="122"/>
      <c r="D177" s="123"/>
      <c r="E177" s="26" t="s">
        <v>155</v>
      </c>
      <c r="F177" s="67" t="s">
        <v>166</v>
      </c>
      <c r="G177" s="124">
        <f>SUM(G178)</f>
        <v>80000</v>
      </c>
      <c r="H177" s="125" t="e">
        <f>H178</f>
        <v>#REF!</v>
      </c>
      <c r="I177" s="120"/>
      <c r="J177" s="126">
        <v>1400</v>
      </c>
      <c r="K177" s="126">
        <v>0</v>
      </c>
      <c r="L177" s="127">
        <f t="shared" si="19"/>
        <v>-1</v>
      </c>
      <c r="M177" s="126">
        <v>0</v>
      </c>
      <c r="N177" s="143"/>
      <c r="O177" s="27">
        <v>0</v>
      </c>
      <c r="P177" s="127"/>
    </row>
    <row r="178" spans="1:18" s="25" customFormat="1" x14ac:dyDescent="0.3">
      <c r="A178" s="204"/>
      <c r="B178" s="60"/>
      <c r="C178" s="60"/>
      <c r="D178" s="60" t="s">
        <v>121</v>
      </c>
      <c r="E178" s="60"/>
      <c r="F178" s="59"/>
      <c r="G178" s="76">
        <v>80000</v>
      </c>
      <c r="H178" s="89" t="e">
        <f>#REF!/G178</f>
        <v>#REF!</v>
      </c>
      <c r="I178" s="52"/>
      <c r="J178" s="64">
        <f>+J179</f>
        <v>1400</v>
      </c>
      <c r="K178" s="64">
        <f>+K179</f>
        <v>1400</v>
      </c>
      <c r="L178" s="65">
        <f t="shared" si="19"/>
        <v>0</v>
      </c>
      <c r="M178" s="64">
        <f>+M179</f>
        <v>1470</v>
      </c>
      <c r="N178" s="71">
        <f t="shared" si="17"/>
        <v>5.0000000000000044E-2</v>
      </c>
      <c r="O178" s="64">
        <f>+O179</f>
        <v>1540</v>
      </c>
      <c r="P178" s="71">
        <f t="shared" si="17"/>
        <v>4.7619047619047672E-2</v>
      </c>
    </row>
    <row r="179" spans="1:18" s="25" customFormat="1" x14ac:dyDescent="0.3">
      <c r="A179" s="149" t="s">
        <v>200</v>
      </c>
      <c r="B179" s="26"/>
      <c r="C179" s="26"/>
      <c r="D179" s="66"/>
      <c r="E179" s="26" t="s">
        <v>155</v>
      </c>
      <c r="F179" s="67" t="s">
        <v>166</v>
      </c>
      <c r="G179" s="83">
        <f>SUM(G180)</f>
        <v>10000</v>
      </c>
      <c r="H179" s="78" t="e">
        <f>#REF!/G179</f>
        <v>#REF!</v>
      </c>
      <c r="I179" s="52"/>
      <c r="J179" s="27">
        <v>1400</v>
      </c>
      <c r="K179" s="27">
        <v>1400</v>
      </c>
      <c r="L179" s="58">
        <f t="shared" si="19"/>
        <v>0</v>
      </c>
      <c r="M179" s="27">
        <v>1470</v>
      </c>
      <c r="N179" s="69">
        <f t="shared" si="17"/>
        <v>5.0000000000000044E-2</v>
      </c>
      <c r="O179" s="27">
        <v>1540</v>
      </c>
      <c r="P179" s="58">
        <f t="shared" si="17"/>
        <v>4.7619047619047672E-2</v>
      </c>
    </row>
    <row r="180" spans="1:18" s="25" customFormat="1" x14ac:dyDescent="0.3">
      <c r="A180" s="205"/>
      <c r="B180" s="60"/>
      <c r="C180" s="60"/>
      <c r="D180" s="82" t="s">
        <v>173</v>
      </c>
      <c r="E180" s="82"/>
      <c r="F180" s="82"/>
      <c r="G180" s="76">
        <v>10000</v>
      </c>
      <c r="H180" s="83">
        <f>SUM(H181)</f>
        <v>0</v>
      </c>
      <c r="I180" s="52"/>
      <c r="J180" s="64">
        <f>+J181</f>
        <v>1400</v>
      </c>
      <c r="K180" s="64">
        <f>+K181</f>
        <v>2000</v>
      </c>
      <c r="L180" s="65">
        <f t="shared" si="19"/>
        <v>0.4285714285714286</v>
      </c>
      <c r="M180" s="64">
        <f>+M181</f>
        <v>2100</v>
      </c>
      <c r="N180" s="71">
        <f t="shared" si="17"/>
        <v>5.0000000000000044E-2</v>
      </c>
      <c r="O180" s="64">
        <f>+O181</f>
        <v>2200</v>
      </c>
      <c r="P180" s="71">
        <f t="shared" si="17"/>
        <v>4.7619047619047672E-2</v>
      </c>
    </row>
    <row r="181" spans="1:18" s="25" customFormat="1" x14ac:dyDescent="0.3">
      <c r="A181" s="147" t="s">
        <v>196</v>
      </c>
      <c r="B181" s="26"/>
      <c r="C181" s="26"/>
      <c r="D181" s="66"/>
      <c r="E181" s="26" t="s">
        <v>153</v>
      </c>
      <c r="F181" s="67" t="s">
        <v>168</v>
      </c>
      <c r="G181" s="83"/>
      <c r="H181" s="78"/>
      <c r="I181" s="52"/>
      <c r="J181" s="27">
        <v>1400</v>
      </c>
      <c r="K181" s="27">
        <v>2000</v>
      </c>
      <c r="L181" s="58">
        <f t="shared" si="19"/>
        <v>0.4285714285714286</v>
      </c>
      <c r="M181" s="27">
        <v>2100</v>
      </c>
      <c r="N181" s="69">
        <f t="shared" si="17"/>
        <v>5.0000000000000044E-2</v>
      </c>
      <c r="O181" s="27">
        <v>2200</v>
      </c>
      <c r="P181" s="58">
        <f t="shared" si="17"/>
        <v>4.7619047619047672E-2</v>
      </c>
    </row>
    <row r="182" spans="1:18" s="25" customFormat="1" ht="15.75" customHeight="1" x14ac:dyDescent="0.3">
      <c r="A182" s="205"/>
      <c r="B182" s="60"/>
      <c r="C182" s="60"/>
      <c r="D182" s="82" t="s">
        <v>187</v>
      </c>
      <c r="E182" s="82"/>
      <c r="F182" s="82"/>
      <c r="G182" s="76">
        <v>100000</v>
      </c>
      <c r="H182" s="73" t="e">
        <f>#REF!/G182</f>
        <v>#REF!</v>
      </c>
      <c r="I182" s="52"/>
      <c r="J182" s="64">
        <f>+J183</f>
        <v>0</v>
      </c>
      <c r="K182" s="64">
        <f>+K183</f>
        <v>10000</v>
      </c>
      <c r="L182" s="65"/>
      <c r="M182" s="64">
        <f>+M183</f>
        <v>10500</v>
      </c>
      <c r="N182" s="71">
        <f t="shared" si="17"/>
        <v>5.0000000000000044E-2</v>
      </c>
      <c r="O182" s="64">
        <f>+O183</f>
        <v>11000</v>
      </c>
      <c r="P182" s="71">
        <f t="shared" si="17"/>
        <v>4.7619047619047672E-2</v>
      </c>
    </row>
    <row r="183" spans="1:18" s="25" customFormat="1" x14ac:dyDescent="0.3">
      <c r="A183" s="149" t="s">
        <v>200</v>
      </c>
      <c r="B183" s="26"/>
      <c r="C183" s="26"/>
      <c r="D183" s="66"/>
      <c r="E183" s="26" t="s">
        <v>155</v>
      </c>
      <c r="F183" s="67" t="s">
        <v>166</v>
      </c>
      <c r="G183" s="83">
        <f>SUM(G186)</f>
        <v>50000</v>
      </c>
      <c r="H183" s="91" t="s">
        <v>56</v>
      </c>
      <c r="I183" s="52"/>
      <c r="J183" s="27">
        <v>0</v>
      </c>
      <c r="K183" s="27">
        <v>10000</v>
      </c>
      <c r="L183" s="58"/>
      <c r="M183" s="27">
        <v>10500</v>
      </c>
      <c r="N183" s="69">
        <f t="shared" si="17"/>
        <v>5.0000000000000044E-2</v>
      </c>
      <c r="O183" s="27">
        <v>11000</v>
      </c>
      <c r="P183" s="58">
        <f t="shared" si="17"/>
        <v>4.7619047619047672E-2</v>
      </c>
    </row>
    <row r="184" spans="1:18" s="25" customFormat="1" x14ac:dyDescent="0.3">
      <c r="A184" s="204"/>
      <c r="B184" s="60"/>
      <c r="C184" s="60"/>
      <c r="D184" s="60" t="s">
        <v>122</v>
      </c>
      <c r="E184" s="60"/>
      <c r="F184" s="59"/>
      <c r="G184" s="76"/>
      <c r="H184" s="96"/>
      <c r="I184" s="52"/>
      <c r="J184" s="64">
        <f>+J185</f>
        <v>26500</v>
      </c>
      <c r="K184" s="64">
        <f>+K185</f>
        <v>50000</v>
      </c>
      <c r="L184" s="65">
        <f t="shared" si="19"/>
        <v>0.8867924528301887</v>
      </c>
      <c r="M184" s="64">
        <f>+M185</f>
        <v>52500</v>
      </c>
      <c r="N184" s="71">
        <f t="shared" si="17"/>
        <v>5.0000000000000044E-2</v>
      </c>
      <c r="O184" s="64">
        <f>+O185</f>
        <v>55000</v>
      </c>
      <c r="P184" s="71">
        <f t="shared" si="17"/>
        <v>4.7619047619047672E-2</v>
      </c>
    </row>
    <row r="185" spans="1:18" s="25" customFormat="1" x14ac:dyDescent="0.3">
      <c r="A185" s="147" t="s">
        <v>196</v>
      </c>
      <c r="B185" s="26"/>
      <c r="C185" s="26"/>
      <c r="D185" s="66"/>
      <c r="E185" s="26" t="s">
        <v>153</v>
      </c>
      <c r="F185" s="67" t="s">
        <v>168</v>
      </c>
      <c r="G185" s="83" t="e">
        <f>SUM(#REF!)</f>
        <v>#REF!</v>
      </c>
      <c r="H185" s="78" t="e">
        <f>#REF!/G185</f>
        <v>#REF!</v>
      </c>
      <c r="I185" s="52"/>
      <c r="J185" s="27">
        <v>26500</v>
      </c>
      <c r="K185" s="27">
        <v>50000</v>
      </c>
      <c r="L185" s="58">
        <f t="shared" si="19"/>
        <v>0.8867924528301887</v>
      </c>
      <c r="M185" s="27">
        <v>52500</v>
      </c>
      <c r="N185" s="69">
        <f t="shared" si="17"/>
        <v>5.0000000000000044E-2</v>
      </c>
      <c r="O185" s="27">
        <v>55000</v>
      </c>
      <c r="P185" s="58">
        <f t="shared" si="17"/>
        <v>4.7619047619047672E-2</v>
      </c>
    </row>
    <row r="186" spans="1:18" s="25" customFormat="1" x14ac:dyDescent="0.3">
      <c r="A186" s="205"/>
      <c r="B186" s="60"/>
      <c r="C186" s="60"/>
      <c r="D186" s="82" t="s">
        <v>123</v>
      </c>
      <c r="E186" s="82"/>
      <c r="F186" s="82"/>
      <c r="G186" s="76">
        <v>50000</v>
      </c>
      <c r="H186" s="89" t="s">
        <v>56</v>
      </c>
      <c r="I186" s="52"/>
      <c r="J186" s="64">
        <f>+J187</f>
        <v>6700</v>
      </c>
      <c r="K186" s="64">
        <f>+K187</f>
        <v>10000</v>
      </c>
      <c r="L186" s="65">
        <f t="shared" si="19"/>
        <v>0.49253731343283591</v>
      </c>
      <c r="M186" s="64">
        <f>+M187</f>
        <v>10500</v>
      </c>
      <c r="N186" s="71">
        <f t="shared" si="17"/>
        <v>5.0000000000000044E-2</v>
      </c>
      <c r="O186" s="64">
        <f>+O187</f>
        <v>11000</v>
      </c>
      <c r="P186" s="71">
        <f t="shared" si="17"/>
        <v>4.7619047619047672E-2</v>
      </c>
    </row>
    <row r="187" spans="1:18" s="25" customFormat="1" x14ac:dyDescent="0.3">
      <c r="A187" s="149" t="s">
        <v>200</v>
      </c>
      <c r="B187" s="26"/>
      <c r="C187" s="26"/>
      <c r="D187" s="66"/>
      <c r="E187" s="26" t="s">
        <v>155</v>
      </c>
      <c r="F187" s="67" t="s">
        <v>166</v>
      </c>
      <c r="G187" s="94">
        <f>G188</f>
        <v>100000</v>
      </c>
      <c r="H187" s="105" t="e">
        <f>H188</f>
        <v>#REF!</v>
      </c>
      <c r="I187" s="52"/>
      <c r="J187" s="27">
        <v>6700</v>
      </c>
      <c r="K187" s="27">
        <v>10000</v>
      </c>
      <c r="L187" s="58">
        <f t="shared" si="19"/>
        <v>0.49253731343283591</v>
      </c>
      <c r="M187" s="27">
        <v>10500</v>
      </c>
      <c r="N187" s="69">
        <f t="shared" si="17"/>
        <v>5.0000000000000044E-2</v>
      </c>
      <c r="O187" s="27">
        <v>11000</v>
      </c>
      <c r="P187" s="58">
        <f t="shared" si="17"/>
        <v>4.7619047619047672E-2</v>
      </c>
    </row>
    <row r="188" spans="1:18" x14ac:dyDescent="0.3">
      <c r="A188" s="203"/>
      <c r="B188" s="53"/>
      <c r="C188" s="53" t="s">
        <v>124</v>
      </c>
      <c r="D188" s="53"/>
      <c r="E188" s="53"/>
      <c r="F188" s="53"/>
      <c r="G188" s="96">
        <f>SUM(G189:G190)</f>
        <v>100000</v>
      </c>
      <c r="H188" s="111" t="e">
        <f>#REF!/G188</f>
        <v>#REF!</v>
      </c>
      <c r="I188" s="52"/>
      <c r="J188" s="76">
        <f>+J189+J191</f>
        <v>6600</v>
      </c>
      <c r="K188" s="76">
        <f>+K189+K191</f>
        <v>10000</v>
      </c>
      <c r="L188" s="58"/>
      <c r="M188" s="76">
        <f>+M189+M191</f>
        <v>10500</v>
      </c>
      <c r="N188" s="69">
        <f t="shared" si="17"/>
        <v>5.0000000000000044E-2</v>
      </c>
      <c r="O188" s="76">
        <f>+O189+O191</f>
        <v>11000</v>
      </c>
      <c r="P188" s="58">
        <f t="shared" si="17"/>
        <v>4.7619047619047672E-2</v>
      </c>
    </row>
    <row r="189" spans="1:18" s="85" customFormat="1" x14ac:dyDescent="0.3">
      <c r="A189" s="205"/>
      <c r="B189" s="60"/>
      <c r="C189" s="60"/>
      <c r="D189" s="60" t="s">
        <v>188</v>
      </c>
      <c r="E189" s="60"/>
      <c r="F189" s="59"/>
      <c r="G189" s="128">
        <v>0</v>
      </c>
      <c r="H189" s="116" t="s">
        <v>56</v>
      </c>
      <c r="I189" s="52"/>
      <c r="J189" s="107">
        <f>+J190</f>
        <v>3300</v>
      </c>
      <c r="K189" s="107">
        <f>+K190</f>
        <v>5000</v>
      </c>
      <c r="L189" s="65">
        <f t="shared" si="19"/>
        <v>0.51515151515151514</v>
      </c>
      <c r="M189" s="107">
        <f>+M190</f>
        <v>5250</v>
      </c>
      <c r="N189" s="71">
        <f t="shared" si="17"/>
        <v>5.0000000000000044E-2</v>
      </c>
      <c r="O189" s="107">
        <f>+O190</f>
        <v>5500</v>
      </c>
      <c r="P189" s="71">
        <f t="shared" si="17"/>
        <v>4.7619047619047672E-2</v>
      </c>
      <c r="Q189" s="90"/>
      <c r="R189" s="90"/>
    </row>
    <row r="190" spans="1:18" x14ac:dyDescent="0.3">
      <c r="A190" s="147" t="s">
        <v>196</v>
      </c>
      <c r="B190" s="84"/>
      <c r="C190" s="84"/>
      <c r="D190" s="129"/>
      <c r="E190" s="26" t="s">
        <v>155</v>
      </c>
      <c r="F190" s="67" t="s">
        <v>166</v>
      </c>
      <c r="G190" s="128">
        <v>100000</v>
      </c>
      <c r="H190" s="114" t="e">
        <f>#REF!/G190</f>
        <v>#REF!</v>
      </c>
      <c r="I190" s="52"/>
      <c r="J190" s="29">
        <v>3300</v>
      </c>
      <c r="K190" s="27">
        <v>5000</v>
      </c>
      <c r="L190" s="58">
        <f t="shared" si="19"/>
        <v>0.51515151515151514</v>
      </c>
      <c r="M190" s="27">
        <v>5250</v>
      </c>
      <c r="N190" s="69">
        <f t="shared" si="17"/>
        <v>5.0000000000000044E-2</v>
      </c>
      <c r="O190" s="27">
        <v>5500</v>
      </c>
      <c r="P190" s="58">
        <f t="shared" si="17"/>
        <v>4.7619047619047672E-2</v>
      </c>
    </row>
    <row r="191" spans="1:18" x14ac:dyDescent="0.3">
      <c r="A191" s="205"/>
      <c r="B191" s="60"/>
      <c r="C191" s="60"/>
      <c r="D191" s="60" t="s">
        <v>174</v>
      </c>
      <c r="E191" s="60"/>
      <c r="F191" s="59"/>
      <c r="G191" s="128">
        <v>0</v>
      </c>
      <c r="H191" s="116" t="s">
        <v>56</v>
      </c>
      <c r="I191" s="52"/>
      <c r="J191" s="107">
        <f>+J192</f>
        <v>3300</v>
      </c>
      <c r="K191" s="107">
        <f>+K192</f>
        <v>5000</v>
      </c>
      <c r="L191" s="65">
        <f t="shared" ref="L191" si="20">+K191/J191-1</f>
        <v>0.51515151515151514</v>
      </c>
      <c r="M191" s="107">
        <f>+M192</f>
        <v>5250</v>
      </c>
      <c r="N191" s="71">
        <f t="shared" ref="N191" si="21">+M191/K191-1</f>
        <v>5.0000000000000044E-2</v>
      </c>
      <c r="O191" s="107">
        <f>+O192</f>
        <v>5500</v>
      </c>
      <c r="P191" s="71">
        <f t="shared" ref="P191" si="22">+O191/M191-1</f>
        <v>4.7619047619047672E-2</v>
      </c>
    </row>
    <row r="192" spans="1:18" x14ac:dyDescent="0.3">
      <c r="A192" s="149" t="s">
        <v>200</v>
      </c>
      <c r="D192" s="66"/>
      <c r="E192" s="26" t="s">
        <v>155</v>
      </c>
      <c r="F192" s="67" t="s">
        <v>166</v>
      </c>
      <c r="G192" s="94">
        <f>G195+G193</f>
        <v>170000</v>
      </c>
      <c r="H192" s="114" t="e">
        <f>#REF!/G192</f>
        <v>#REF!</v>
      </c>
      <c r="I192" s="52"/>
      <c r="J192" s="29">
        <v>3300</v>
      </c>
      <c r="K192" s="27">
        <v>5000</v>
      </c>
      <c r="L192" s="58">
        <f t="shared" si="19"/>
        <v>0.51515151515151514</v>
      </c>
      <c r="M192" s="27">
        <v>5250</v>
      </c>
      <c r="N192" s="69">
        <f t="shared" si="17"/>
        <v>5.0000000000000044E-2</v>
      </c>
      <c r="O192" s="27">
        <v>5500</v>
      </c>
      <c r="P192" s="58">
        <f t="shared" si="17"/>
        <v>4.7619047619047672E-2</v>
      </c>
    </row>
    <row r="193" spans="1:16" x14ac:dyDescent="0.3">
      <c r="A193" s="203"/>
      <c r="B193" s="53"/>
      <c r="C193" s="53" t="s">
        <v>125</v>
      </c>
      <c r="D193" s="53"/>
      <c r="E193" s="53"/>
      <c r="F193" s="53"/>
      <c r="G193" s="96">
        <f>SUM(G194:G194)</f>
        <v>100000</v>
      </c>
      <c r="H193" s="111" t="e">
        <f>#REF!/G193</f>
        <v>#REF!</v>
      </c>
      <c r="I193" s="52"/>
      <c r="J193" s="27">
        <f>+J194+J196</f>
        <v>16500</v>
      </c>
      <c r="K193" s="27">
        <f>+K194+K196</f>
        <v>36500</v>
      </c>
      <c r="L193" s="58">
        <f t="shared" si="19"/>
        <v>1.2121212121212119</v>
      </c>
      <c r="M193" s="27">
        <f>+M194+M196</f>
        <v>38325</v>
      </c>
      <c r="N193" s="69">
        <f t="shared" si="19"/>
        <v>31617.125000000004</v>
      </c>
      <c r="O193" s="27">
        <f>+O194+O196</f>
        <v>40150</v>
      </c>
      <c r="P193" s="58">
        <f t="shared" si="19"/>
        <v>0.26988143292598532</v>
      </c>
    </row>
    <row r="194" spans="1:16" x14ac:dyDescent="0.3">
      <c r="A194" s="205"/>
      <c r="B194" s="60"/>
      <c r="C194" s="60"/>
      <c r="D194" s="60" t="s">
        <v>126</v>
      </c>
      <c r="E194" s="60"/>
      <c r="F194" s="59"/>
      <c r="G194" s="76">
        <v>100000</v>
      </c>
      <c r="H194" s="114" t="e">
        <f>#REF!/G194</f>
        <v>#REF!</v>
      </c>
      <c r="I194" s="52"/>
      <c r="J194" s="130">
        <f>+J195</f>
        <v>6500</v>
      </c>
      <c r="K194" s="130">
        <f>+K195</f>
        <v>6500</v>
      </c>
      <c r="L194" s="65">
        <f t="shared" si="19"/>
        <v>0</v>
      </c>
      <c r="M194" s="130">
        <f>+M195</f>
        <v>6825</v>
      </c>
      <c r="N194" s="71">
        <f t="shared" si="17"/>
        <v>5.0000000000000044E-2</v>
      </c>
      <c r="O194" s="130">
        <f>+O195</f>
        <v>7150</v>
      </c>
      <c r="P194" s="71">
        <f t="shared" si="17"/>
        <v>4.7619047619047672E-2</v>
      </c>
    </row>
    <row r="195" spans="1:16" x14ac:dyDescent="0.3">
      <c r="A195" s="149" t="s">
        <v>200</v>
      </c>
      <c r="D195" s="66"/>
      <c r="E195" s="26" t="s">
        <v>155</v>
      </c>
      <c r="F195" s="67" t="s">
        <v>166</v>
      </c>
      <c r="G195" s="96">
        <f>SUM(G196:G196)</f>
        <v>70000</v>
      </c>
      <c r="H195" s="109" t="s">
        <v>56</v>
      </c>
      <c r="I195" s="52"/>
      <c r="J195" s="76">
        <v>6500</v>
      </c>
      <c r="K195" s="76">
        <v>6500</v>
      </c>
      <c r="L195" s="58">
        <f t="shared" si="19"/>
        <v>0</v>
      </c>
      <c r="M195" s="27">
        <v>6825</v>
      </c>
      <c r="N195" s="69">
        <f t="shared" si="17"/>
        <v>5.0000000000000044E-2</v>
      </c>
      <c r="O195" s="27">
        <v>7150</v>
      </c>
      <c r="P195" s="58">
        <f t="shared" si="17"/>
        <v>4.7619047619047672E-2</v>
      </c>
    </row>
    <row r="196" spans="1:16" x14ac:dyDescent="0.3">
      <c r="A196" s="205"/>
      <c r="B196" s="60"/>
      <c r="C196" s="60"/>
      <c r="D196" s="60" t="s">
        <v>127</v>
      </c>
      <c r="E196" s="60"/>
      <c r="F196" s="59"/>
      <c r="G196" s="76">
        <v>70000</v>
      </c>
      <c r="H196" s="116" t="s">
        <v>56</v>
      </c>
      <c r="I196" s="52"/>
      <c r="J196" s="130">
        <f>+J197</f>
        <v>10000</v>
      </c>
      <c r="K196" s="130">
        <f>+K197</f>
        <v>30000</v>
      </c>
      <c r="L196" s="65">
        <f t="shared" si="19"/>
        <v>2</v>
      </c>
      <c r="M196" s="130">
        <f>+M197</f>
        <v>31500</v>
      </c>
      <c r="N196" s="71">
        <f t="shared" si="17"/>
        <v>5.0000000000000044E-2</v>
      </c>
      <c r="O196" s="130">
        <f>+O197</f>
        <v>33000</v>
      </c>
      <c r="P196" s="71">
        <f t="shared" si="17"/>
        <v>4.7619047619047672E-2</v>
      </c>
    </row>
    <row r="197" spans="1:16" x14ac:dyDescent="0.3">
      <c r="A197" s="149" t="s">
        <v>200</v>
      </c>
      <c r="D197" s="66"/>
      <c r="E197" s="26" t="s">
        <v>155</v>
      </c>
      <c r="F197" s="67" t="s">
        <v>166</v>
      </c>
      <c r="G197" s="92" t="e">
        <f>#REF!</f>
        <v>#REF!</v>
      </c>
      <c r="H197" s="102" t="e">
        <f>#REF!/G197</f>
        <v>#REF!</v>
      </c>
      <c r="I197" s="52"/>
      <c r="J197" s="16">
        <v>10000</v>
      </c>
      <c r="K197" s="27">
        <v>30000</v>
      </c>
      <c r="L197" s="58">
        <f t="shared" si="19"/>
        <v>2</v>
      </c>
      <c r="M197" s="27">
        <v>31500</v>
      </c>
      <c r="N197" s="69">
        <f t="shared" si="17"/>
        <v>5.0000000000000044E-2</v>
      </c>
      <c r="O197" s="27">
        <v>33000</v>
      </c>
      <c r="P197" s="58">
        <f t="shared" si="17"/>
        <v>4.7619047619047672E-2</v>
      </c>
    </row>
    <row r="198" spans="1:16" x14ac:dyDescent="0.3">
      <c r="A198" s="203"/>
      <c r="B198" s="53"/>
      <c r="C198" s="53" t="s">
        <v>129</v>
      </c>
      <c r="D198" s="53"/>
      <c r="E198" s="53"/>
      <c r="F198" s="53"/>
      <c r="G198" s="96">
        <f>SUM(G199:G199)</f>
        <v>500000</v>
      </c>
      <c r="H198" s="78" t="e">
        <f>#REF!/G198</f>
        <v>#REF!</v>
      </c>
      <c r="I198" s="52"/>
      <c r="J198" s="27">
        <f>+J199+J201+J203+J205+J207+J209+J211</f>
        <v>224500</v>
      </c>
      <c r="K198" s="27">
        <f>+K199+K201+K203+K205+K207+K209+K211</f>
        <v>403000</v>
      </c>
      <c r="L198" s="58">
        <f t="shared" si="19"/>
        <v>0.79510022271714931</v>
      </c>
      <c r="M198" s="27">
        <f>+M199+M201+M203+M205+M207+M209+M211</f>
        <v>423150</v>
      </c>
      <c r="N198" s="69">
        <f t="shared" si="17"/>
        <v>5.0000000000000044E-2</v>
      </c>
      <c r="O198" s="27">
        <f>+O199+O201+O203+O205+O207+O209+O211</f>
        <v>443300</v>
      </c>
      <c r="P198" s="58">
        <f t="shared" si="17"/>
        <v>4.7619047619047672E-2</v>
      </c>
    </row>
    <row r="199" spans="1:16" x14ac:dyDescent="0.3">
      <c r="A199" s="205"/>
      <c r="B199" s="60"/>
      <c r="C199" s="60"/>
      <c r="D199" s="60" t="s">
        <v>130</v>
      </c>
      <c r="E199" s="60"/>
      <c r="F199" s="59"/>
      <c r="G199" s="76">
        <v>500000</v>
      </c>
      <c r="H199" s="73" t="e">
        <f>#REF!/G199</f>
        <v>#REF!</v>
      </c>
      <c r="I199" s="52"/>
      <c r="J199" s="81">
        <f>+J200</f>
        <v>66500</v>
      </c>
      <c r="K199" s="81">
        <f>+K200</f>
        <v>100000</v>
      </c>
      <c r="L199" s="65">
        <f t="shared" si="19"/>
        <v>0.50375939849624052</v>
      </c>
      <c r="M199" s="81">
        <f>+M200</f>
        <v>105000</v>
      </c>
      <c r="N199" s="71">
        <f t="shared" si="17"/>
        <v>5.0000000000000044E-2</v>
      </c>
      <c r="O199" s="81">
        <f>+O200</f>
        <v>110000</v>
      </c>
      <c r="P199" s="71">
        <f t="shared" si="17"/>
        <v>4.7619047619047672E-2</v>
      </c>
    </row>
    <row r="200" spans="1:16" x14ac:dyDescent="0.3">
      <c r="A200" s="147" t="s">
        <v>196</v>
      </c>
      <c r="D200" s="66"/>
      <c r="E200" s="26" t="s">
        <v>159</v>
      </c>
      <c r="F200" s="67" t="s">
        <v>165</v>
      </c>
      <c r="G200" s="96">
        <f>SUM(G201)</f>
        <v>50000</v>
      </c>
      <c r="H200" s="78" t="e">
        <f>#REF!/G200</f>
        <v>#REF!</v>
      </c>
      <c r="I200" s="52"/>
      <c r="J200" s="16">
        <v>66500</v>
      </c>
      <c r="K200" s="27">
        <v>100000</v>
      </c>
      <c r="L200" s="58">
        <f t="shared" si="19"/>
        <v>0.50375939849624052</v>
      </c>
      <c r="M200" s="27">
        <v>105000</v>
      </c>
      <c r="N200" s="69">
        <f t="shared" si="17"/>
        <v>5.0000000000000044E-2</v>
      </c>
      <c r="O200" s="27">
        <v>110000</v>
      </c>
      <c r="P200" s="58">
        <f t="shared" si="17"/>
        <v>4.7619047619047672E-2</v>
      </c>
    </row>
    <row r="201" spans="1:16" x14ac:dyDescent="0.3">
      <c r="A201" s="205"/>
      <c r="B201" s="60"/>
      <c r="C201" s="60"/>
      <c r="D201" s="60" t="s">
        <v>131</v>
      </c>
      <c r="E201" s="60"/>
      <c r="F201" s="59"/>
      <c r="G201" s="76">
        <v>50000</v>
      </c>
      <c r="H201" s="73" t="e">
        <f>#REF!/G201</f>
        <v>#REF!</v>
      </c>
      <c r="I201" s="52"/>
      <c r="J201" s="81">
        <f>+J202</f>
        <v>13300</v>
      </c>
      <c r="K201" s="81">
        <f>+K202</f>
        <v>27000</v>
      </c>
      <c r="L201" s="65">
        <f t="shared" si="19"/>
        <v>1.030075187969925</v>
      </c>
      <c r="M201" s="81">
        <f>+M202</f>
        <v>28350</v>
      </c>
      <c r="N201" s="71">
        <f t="shared" si="17"/>
        <v>5.0000000000000044E-2</v>
      </c>
      <c r="O201" s="81">
        <f>+O202</f>
        <v>29700</v>
      </c>
      <c r="P201" s="71">
        <f t="shared" si="17"/>
        <v>4.7619047619047672E-2</v>
      </c>
    </row>
    <row r="202" spans="1:16" x14ac:dyDescent="0.3">
      <c r="A202" s="149" t="s">
        <v>200</v>
      </c>
      <c r="D202" s="66"/>
      <c r="E202" s="26" t="s">
        <v>155</v>
      </c>
      <c r="F202" s="67" t="s">
        <v>166</v>
      </c>
      <c r="G202" s="96">
        <f>SUM(G207)</f>
        <v>200000</v>
      </c>
      <c r="H202" s="78" t="e">
        <f>#REF!/G202</f>
        <v>#REF!</v>
      </c>
      <c r="I202" s="52"/>
      <c r="J202" s="16">
        <v>13300</v>
      </c>
      <c r="K202" s="27">
        <v>27000</v>
      </c>
      <c r="L202" s="58">
        <f t="shared" si="19"/>
        <v>1.030075187969925</v>
      </c>
      <c r="M202" s="27">
        <v>28350</v>
      </c>
      <c r="N202" s="69">
        <f t="shared" si="17"/>
        <v>5.0000000000000044E-2</v>
      </c>
      <c r="O202" s="27">
        <v>29700</v>
      </c>
      <c r="P202" s="58">
        <f t="shared" si="17"/>
        <v>4.7619047619047672E-2</v>
      </c>
    </row>
    <row r="203" spans="1:16" x14ac:dyDescent="0.3">
      <c r="A203" s="205"/>
      <c r="B203" s="60"/>
      <c r="C203" s="60"/>
      <c r="D203" s="60" t="s">
        <v>132</v>
      </c>
      <c r="E203" s="60"/>
      <c r="F203" s="59"/>
      <c r="G203" s="76">
        <v>200000</v>
      </c>
      <c r="H203" s="73" t="e">
        <f>#REF!/G203</f>
        <v>#REF!</v>
      </c>
      <c r="I203" s="52"/>
      <c r="J203" s="81">
        <f>+J204</f>
        <v>4000</v>
      </c>
      <c r="K203" s="81">
        <f>+K204</f>
        <v>5000</v>
      </c>
      <c r="L203" s="65">
        <f t="shared" si="19"/>
        <v>0.25</v>
      </c>
      <c r="M203" s="81">
        <f>+M204</f>
        <v>5250</v>
      </c>
      <c r="N203" s="71">
        <f t="shared" ref="N203:P226" si="23">+M203/K203-1</f>
        <v>5.0000000000000044E-2</v>
      </c>
      <c r="O203" s="81">
        <f>+O204</f>
        <v>5500</v>
      </c>
      <c r="P203" s="71">
        <f t="shared" si="23"/>
        <v>4.7619047619047672E-2</v>
      </c>
    </row>
    <row r="204" spans="1:16" s="25" customFormat="1" x14ac:dyDescent="0.3">
      <c r="A204" s="147" t="s">
        <v>196</v>
      </c>
      <c r="B204" s="26"/>
      <c r="C204" s="26"/>
      <c r="D204" s="66"/>
      <c r="E204" s="26" t="s">
        <v>159</v>
      </c>
      <c r="F204" s="67" t="s">
        <v>165</v>
      </c>
      <c r="G204" s="96"/>
      <c r="H204" s="78"/>
      <c r="I204" s="52"/>
      <c r="J204" s="16">
        <v>4000</v>
      </c>
      <c r="K204" s="27">
        <v>5000</v>
      </c>
      <c r="L204" s="58">
        <f t="shared" si="19"/>
        <v>0.25</v>
      </c>
      <c r="M204" s="27">
        <v>5250</v>
      </c>
      <c r="N204" s="69">
        <f t="shared" si="23"/>
        <v>5.0000000000000044E-2</v>
      </c>
      <c r="O204" s="27">
        <v>5500</v>
      </c>
      <c r="P204" s="58">
        <f t="shared" si="23"/>
        <v>4.7619047619047672E-2</v>
      </c>
    </row>
    <row r="205" spans="1:16" s="25" customFormat="1" x14ac:dyDescent="0.3">
      <c r="A205" s="205"/>
      <c r="B205" s="60"/>
      <c r="C205" s="60"/>
      <c r="D205" s="60" t="s">
        <v>133</v>
      </c>
      <c r="E205" s="60"/>
      <c r="F205" s="59"/>
      <c r="G205" s="76">
        <v>200000</v>
      </c>
      <c r="H205" s="73" t="e">
        <f>#REF!/G205</f>
        <v>#REF!</v>
      </c>
      <c r="I205" s="52"/>
      <c r="J205" s="81">
        <f>+J206</f>
        <v>15000</v>
      </c>
      <c r="K205" s="81">
        <f>+K206</f>
        <v>100000</v>
      </c>
      <c r="L205" s="65">
        <f t="shared" si="19"/>
        <v>5.666666666666667</v>
      </c>
      <c r="M205" s="81">
        <f>+M206</f>
        <v>105000</v>
      </c>
      <c r="N205" s="71">
        <f t="shared" si="23"/>
        <v>5.0000000000000044E-2</v>
      </c>
      <c r="O205" s="81">
        <f>+O206</f>
        <v>110000</v>
      </c>
      <c r="P205" s="71">
        <f t="shared" si="23"/>
        <v>4.7619047619047672E-2</v>
      </c>
    </row>
    <row r="206" spans="1:16" s="25" customFormat="1" x14ac:dyDescent="0.3">
      <c r="A206" s="147" t="s">
        <v>196</v>
      </c>
      <c r="B206" s="26"/>
      <c r="C206" s="26"/>
      <c r="D206" s="66"/>
      <c r="E206" s="26" t="s">
        <v>153</v>
      </c>
      <c r="F206" s="67" t="s">
        <v>168</v>
      </c>
      <c r="G206" s="96"/>
      <c r="H206" s="78"/>
      <c r="I206" s="52"/>
      <c r="J206" s="16">
        <v>15000</v>
      </c>
      <c r="K206" s="27">
        <v>100000</v>
      </c>
      <c r="L206" s="58">
        <f t="shared" si="19"/>
        <v>5.666666666666667</v>
      </c>
      <c r="M206" s="27">
        <v>105000</v>
      </c>
      <c r="N206" s="69">
        <f t="shared" si="23"/>
        <v>5.0000000000000044E-2</v>
      </c>
      <c r="O206" s="27">
        <v>110000</v>
      </c>
      <c r="P206" s="58">
        <f t="shared" si="23"/>
        <v>4.7619047619047672E-2</v>
      </c>
    </row>
    <row r="207" spans="1:16" s="25" customFormat="1" x14ac:dyDescent="0.3">
      <c r="A207" s="205"/>
      <c r="B207" s="60"/>
      <c r="C207" s="60"/>
      <c r="D207" s="60" t="s">
        <v>134</v>
      </c>
      <c r="E207" s="60"/>
      <c r="F207" s="59"/>
      <c r="G207" s="76">
        <v>200000</v>
      </c>
      <c r="H207" s="73" t="e">
        <f>#REF!/G207</f>
        <v>#REF!</v>
      </c>
      <c r="I207" s="52"/>
      <c r="J207" s="81">
        <f>+J208</f>
        <v>100000</v>
      </c>
      <c r="K207" s="81">
        <f>+K208</f>
        <v>170000</v>
      </c>
      <c r="L207" s="65">
        <f t="shared" si="19"/>
        <v>0.7</v>
      </c>
      <c r="M207" s="81">
        <f>+M208</f>
        <v>178500</v>
      </c>
      <c r="N207" s="71">
        <f t="shared" si="23"/>
        <v>5.0000000000000044E-2</v>
      </c>
      <c r="O207" s="81">
        <f>+O208</f>
        <v>187000</v>
      </c>
      <c r="P207" s="71">
        <f t="shared" si="23"/>
        <v>4.7619047619047672E-2</v>
      </c>
    </row>
    <row r="208" spans="1:16" s="25" customFormat="1" x14ac:dyDescent="0.3">
      <c r="A208" s="149" t="s">
        <v>200</v>
      </c>
      <c r="B208" s="26"/>
      <c r="C208" s="26"/>
      <c r="D208" s="66"/>
      <c r="E208" s="26" t="s">
        <v>155</v>
      </c>
      <c r="F208" s="67" t="s">
        <v>166</v>
      </c>
      <c r="G208" s="96" t="e">
        <f>SUM(#REF!)</f>
        <v>#REF!</v>
      </c>
      <c r="H208" s="78" t="e">
        <f>#REF!/G208</f>
        <v>#REF!</v>
      </c>
      <c r="I208" s="52"/>
      <c r="J208" s="16">
        <v>100000</v>
      </c>
      <c r="K208" s="27">
        <v>170000</v>
      </c>
      <c r="L208" s="58">
        <f t="shared" si="19"/>
        <v>0.7</v>
      </c>
      <c r="M208" s="27">
        <v>178500</v>
      </c>
      <c r="N208" s="69">
        <f t="shared" si="23"/>
        <v>5.0000000000000044E-2</v>
      </c>
      <c r="O208" s="27">
        <v>187000</v>
      </c>
      <c r="P208" s="58">
        <f t="shared" si="23"/>
        <v>4.7619047619047672E-2</v>
      </c>
    </row>
    <row r="209" spans="1:16" s="25" customFormat="1" x14ac:dyDescent="0.3">
      <c r="A209" s="205"/>
      <c r="B209" s="60"/>
      <c r="C209" s="60"/>
      <c r="D209" s="60" t="s">
        <v>135</v>
      </c>
      <c r="E209" s="60"/>
      <c r="F209" s="59"/>
      <c r="G209" s="76">
        <v>1500000</v>
      </c>
      <c r="H209" s="89" t="s">
        <v>56</v>
      </c>
      <c r="I209" s="52"/>
      <c r="J209" s="81">
        <f>+J210</f>
        <v>25000</v>
      </c>
      <c r="K209" s="81">
        <f>+K210</f>
        <v>0</v>
      </c>
      <c r="L209" s="65">
        <f t="shared" si="19"/>
        <v>-1</v>
      </c>
      <c r="M209" s="81">
        <f>+M210</f>
        <v>0</v>
      </c>
      <c r="N209" s="71"/>
      <c r="O209" s="81">
        <f>+O210</f>
        <v>0</v>
      </c>
      <c r="P209" s="71"/>
    </row>
    <row r="210" spans="1:16" s="25" customFormat="1" ht="28.8" x14ac:dyDescent="0.3">
      <c r="A210" s="147" t="s">
        <v>197</v>
      </c>
      <c r="B210" s="26"/>
      <c r="C210" s="26"/>
      <c r="D210" s="66"/>
      <c r="E210" s="26" t="s">
        <v>153</v>
      </c>
      <c r="F210" s="67" t="s">
        <v>168</v>
      </c>
      <c r="G210" s="76"/>
      <c r="H210" s="89"/>
      <c r="I210" s="52"/>
      <c r="J210" s="16">
        <v>25000</v>
      </c>
      <c r="K210" s="27">
        <v>0</v>
      </c>
      <c r="L210" s="58">
        <f t="shared" si="19"/>
        <v>-1</v>
      </c>
      <c r="M210" s="27">
        <f t="shared" ref="M210" si="24">+K210*1.05</f>
        <v>0</v>
      </c>
      <c r="N210" s="69"/>
      <c r="O210" s="27">
        <v>0</v>
      </c>
      <c r="P210" s="58"/>
    </row>
    <row r="211" spans="1:16" s="25" customFormat="1" x14ac:dyDescent="0.3">
      <c r="A211" s="205"/>
      <c r="B211" s="60"/>
      <c r="C211" s="60"/>
      <c r="D211" s="60" t="s">
        <v>136</v>
      </c>
      <c r="E211" s="60"/>
      <c r="F211" s="59"/>
      <c r="G211" s="76">
        <v>1500000</v>
      </c>
      <c r="H211" s="89" t="s">
        <v>56</v>
      </c>
      <c r="I211" s="52"/>
      <c r="J211" s="81">
        <f>+J212</f>
        <v>700</v>
      </c>
      <c r="K211" s="81">
        <f>+K212</f>
        <v>1000</v>
      </c>
      <c r="L211" s="65">
        <f t="shared" si="19"/>
        <v>0.4285714285714286</v>
      </c>
      <c r="M211" s="81">
        <f>+M212</f>
        <v>1050</v>
      </c>
      <c r="N211" s="71">
        <f t="shared" si="23"/>
        <v>5.0000000000000044E-2</v>
      </c>
      <c r="O211" s="81">
        <f>+O212</f>
        <v>1100</v>
      </c>
      <c r="P211" s="71">
        <f t="shared" si="23"/>
        <v>4.7619047619047672E-2</v>
      </c>
    </row>
    <row r="212" spans="1:16" s="25" customFormat="1" x14ac:dyDescent="0.3">
      <c r="A212" s="149" t="s">
        <v>200</v>
      </c>
      <c r="B212" s="26"/>
      <c r="C212" s="26"/>
      <c r="D212" s="66"/>
      <c r="E212" s="26" t="s">
        <v>155</v>
      </c>
      <c r="F212" s="67" t="s">
        <v>166</v>
      </c>
      <c r="G212" s="96" t="e">
        <f>SUM(#REF!)</f>
        <v>#REF!</v>
      </c>
      <c r="H212" s="91" t="s">
        <v>56</v>
      </c>
      <c r="I212" s="52"/>
      <c r="J212" s="16">
        <v>700</v>
      </c>
      <c r="K212" s="27">
        <v>1000</v>
      </c>
      <c r="L212" s="58">
        <f t="shared" si="19"/>
        <v>0.4285714285714286</v>
      </c>
      <c r="M212" s="27">
        <v>1050</v>
      </c>
      <c r="N212" s="69">
        <f t="shared" si="23"/>
        <v>5.0000000000000044E-2</v>
      </c>
      <c r="O212" s="27">
        <v>1100</v>
      </c>
      <c r="P212" s="58">
        <f t="shared" si="23"/>
        <v>4.7619047619047672E-2</v>
      </c>
    </row>
    <row r="213" spans="1:16" s="25" customFormat="1" x14ac:dyDescent="0.3">
      <c r="A213" s="203"/>
      <c r="B213" s="53"/>
      <c r="C213" s="53" t="s">
        <v>138</v>
      </c>
      <c r="D213" s="53"/>
      <c r="E213" s="53"/>
      <c r="F213" s="53"/>
      <c r="G213" s="92">
        <f>G216</f>
        <v>1030000</v>
      </c>
      <c r="H213" s="93" t="e">
        <f>#REF!/G213</f>
        <v>#REF!</v>
      </c>
      <c r="I213" s="52"/>
      <c r="J213" s="27">
        <f>+J214+J216+J218+J220+J222+J224</f>
        <v>69500</v>
      </c>
      <c r="K213" s="27">
        <f>+K214+K216+K218+K220+K222+K224</f>
        <v>87500</v>
      </c>
      <c r="L213" s="58">
        <f t="shared" si="19"/>
        <v>0.25899280575539563</v>
      </c>
      <c r="M213" s="27">
        <f>+M214+M216+M218+M220+M222+M224</f>
        <v>91875</v>
      </c>
      <c r="N213" s="69">
        <f t="shared" si="23"/>
        <v>5.0000000000000044E-2</v>
      </c>
      <c r="O213" s="27">
        <f>+O214+O216+O218+O220+O222+O224</f>
        <v>96250</v>
      </c>
      <c r="P213" s="58">
        <f t="shared" si="23"/>
        <v>4.7619047619047672E-2</v>
      </c>
    </row>
    <row r="214" spans="1:16" s="25" customFormat="1" x14ac:dyDescent="0.3">
      <c r="A214" s="205"/>
      <c r="B214" s="60"/>
      <c r="C214" s="60"/>
      <c r="D214" s="79" t="s">
        <v>139</v>
      </c>
      <c r="E214" s="79"/>
      <c r="F214" s="80"/>
      <c r="G214" s="94">
        <f>G217+G219+G221+G215+G223+G225</f>
        <v>380000</v>
      </c>
      <c r="H214" s="95" t="e">
        <f>#REF!/G214</f>
        <v>#REF!</v>
      </c>
      <c r="I214" s="52"/>
      <c r="J214" s="81">
        <f>+J215</f>
        <v>5000</v>
      </c>
      <c r="K214" s="81">
        <f>+K215</f>
        <v>5000</v>
      </c>
      <c r="L214" s="65">
        <f t="shared" si="19"/>
        <v>0</v>
      </c>
      <c r="M214" s="81">
        <f>+M215</f>
        <v>5250</v>
      </c>
      <c r="N214" s="71">
        <f t="shared" si="23"/>
        <v>5.0000000000000044E-2</v>
      </c>
      <c r="O214" s="81">
        <f>+O215</f>
        <v>5500</v>
      </c>
      <c r="P214" s="71">
        <f t="shared" si="23"/>
        <v>4.7619047619047672E-2</v>
      </c>
    </row>
    <row r="215" spans="1:16" s="25" customFormat="1" x14ac:dyDescent="0.3">
      <c r="A215" s="149" t="s">
        <v>200</v>
      </c>
      <c r="B215" s="53"/>
      <c r="C215" s="53"/>
      <c r="D215" s="66"/>
      <c r="E215" s="26" t="s">
        <v>155</v>
      </c>
      <c r="F215" s="67" t="s">
        <v>166</v>
      </c>
      <c r="G215" s="92"/>
      <c r="H215" s="93"/>
      <c r="I215" s="52"/>
      <c r="J215" s="76">
        <v>5000</v>
      </c>
      <c r="K215" s="27">
        <v>5000</v>
      </c>
      <c r="L215" s="58">
        <f t="shared" si="19"/>
        <v>0</v>
      </c>
      <c r="M215" s="27">
        <v>5250</v>
      </c>
      <c r="N215" s="69">
        <f t="shared" si="23"/>
        <v>5.0000000000000044E-2</v>
      </c>
      <c r="O215" s="27">
        <v>5500</v>
      </c>
      <c r="P215" s="58">
        <f t="shared" si="23"/>
        <v>4.7619047619047672E-2</v>
      </c>
    </row>
    <row r="216" spans="1:16" s="25" customFormat="1" x14ac:dyDescent="0.3">
      <c r="A216" s="205"/>
      <c r="B216" s="60"/>
      <c r="C216" s="60"/>
      <c r="D216" s="79" t="s">
        <v>140</v>
      </c>
      <c r="E216" s="79"/>
      <c r="F216" s="80"/>
      <c r="G216" s="94">
        <f>G219+G221+G223+G217+G225+G227</f>
        <v>1030000</v>
      </c>
      <c r="H216" s="95" t="e">
        <f>#REF!/G216</f>
        <v>#REF!</v>
      </c>
      <c r="I216" s="52"/>
      <c r="J216" s="81">
        <f>+J217</f>
        <v>700</v>
      </c>
      <c r="K216" s="81">
        <f>+K217</f>
        <v>1000</v>
      </c>
      <c r="L216" s="65">
        <f t="shared" si="19"/>
        <v>0.4285714285714286</v>
      </c>
      <c r="M216" s="81">
        <f>+M217</f>
        <v>1050</v>
      </c>
      <c r="N216" s="71">
        <f t="shared" si="23"/>
        <v>5.0000000000000044E-2</v>
      </c>
      <c r="O216" s="81">
        <f>+O217</f>
        <v>1100</v>
      </c>
      <c r="P216" s="71">
        <f t="shared" si="23"/>
        <v>4.7619047619047672E-2</v>
      </c>
    </row>
    <row r="217" spans="1:16" s="25" customFormat="1" x14ac:dyDescent="0.3">
      <c r="A217" s="149" t="s">
        <v>200</v>
      </c>
      <c r="B217" s="26"/>
      <c r="C217" s="26"/>
      <c r="D217" s="66"/>
      <c r="E217" s="26" t="s">
        <v>155</v>
      </c>
      <c r="F217" s="67" t="s">
        <v>166</v>
      </c>
      <c r="G217" s="96">
        <f>SUM(G218)</f>
        <v>10000</v>
      </c>
      <c r="H217" s="78" t="e">
        <f>#REF!/G217</f>
        <v>#REF!</v>
      </c>
      <c r="I217" s="52"/>
      <c r="J217" s="16">
        <v>700</v>
      </c>
      <c r="K217" s="27">
        <v>1000</v>
      </c>
      <c r="L217" s="58">
        <f t="shared" si="19"/>
        <v>0.4285714285714286</v>
      </c>
      <c r="M217" s="27">
        <v>1050</v>
      </c>
      <c r="N217" s="69">
        <f t="shared" si="23"/>
        <v>5.0000000000000044E-2</v>
      </c>
      <c r="O217" s="27">
        <v>1100</v>
      </c>
      <c r="P217" s="58">
        <f t="shared" si="23"/>
        <v>4.7619047619047672E-2</v>
      </c>
    </row>
    <row r="218" spans="1:16" x14ac:dyDescent="0.3">
      <c r="A218" s="204"/>
      <c r="B218" s="60"/>
      <c r="C218" s="60"/>
      <c r="D218" s="60" t="s">
        <v>141</v>
      </c>
      <c r="E218" s="60"/>
      <c r="F218" s="59"/>
      <c r="G218" s="76">
        <v>10000</v>
      </c>
      <c r="H218" s="73" t="e">
        <f>#REF!/G218</f>
        <v>#REF!</v>
      </c>
      <c r="I218" s="52"/>
      <c r="J218" s="81">
        <f>+J219</f>
        <v>13300</v>
      </c>
      <c r="K218" s="81">
        <f>+K219</f>
        <v>15000</v>
      </c>
      <c r="L218" s="65">
        <f t="shared" si="19"/>
        <v>0.1278195488721805</v>
      </c>
      <c r="M218" s="81">
        <f>+M219</f>
        <v>15750</v>
      </c>
      <c r="N218" s="71">
        <f t="shared" si="23"/>
        <v>5.0000000000000044E-2</v>
      </c>
      <c r="O218" s="81">
        <f>+O219</f>
        <v>16500</v>
      </c>
      <c r="P218" s="71">
        <f t="shared" si="23"/>
        <v>4.7619047619047672E-2</v>
      </c>
    </row>
    <row r="219" spans="1:16" x14ac:dyDescent="0.3">
      <c r="A219" s="147" t="s">
        <v>196</v>
      </c>
      <c r="D219" s="66"/>
      <c r="E219" s="26" t="s">
        <v>159</v>
      </c>
      <c r="F219" s="67" t="s">
        <v>165</v>
      </c>
      <c r="G219" s="96">
        <f>SUM(G220)</f>
        <v>100000</v>
      </c>
      <c r="H219" s="91" t="s">
        <v>56</v>
      </c>
      <c r="I219" s="52"/>
      <c r="J219" s="16">
        <v>13300</v>
      </c>
      <c r="K219" s="27">
        <v>15000</v>
      </c>
      <c r="L219" s="58">
        <f t="shared" si="19"/>
        <v>0.1278195488721805</v>
      </c>
      <c r="M219" s="27">
        <v>15750</v>
      </c>
      <c r="N219" s="69">
        <f t="shared" si="23"/>
        <v>5.0000000000000044E-2</v>
      </c>
      <c r="O219" s="27">
        <v>16500</v>
      </c>
      <c r="P219" s="58">
        <f t="shared" si="23"/>
        <v>4.7619047619047672E-2</v>
      </c>
    </row>
    <row r="220" spans="1:16" x14ac:dyDescent="0.3">
      <c r="A220" s="205"/>
      <c r="B220" s="60"/>
      <c r="C220" s="60"/>
      <c r="D220" s="79" t="s">
        <v>142</v>
      </c>
      <c r="E220" s="79"/>
      <c r="F220" s="80"/>
      <c r="G220" s="76">
        <v>100000</v>
      </c>
      <c r="H220" s="89" t="s">
        <v>56</v>
      </c>
      <c r="I220" s="52"/>
      <c r="J220" s="81">
        <f>+J221</f>
        <v>26500</v>
      </c>
      <c r="K220" s="81">
        <f>+K221</f>
        <v>26500</v>
      </c>
      <c r="L220" s="65">
        <f t="shared" si="19"/>
        <v>0</v>
      </c>
      <c r="M220" s="81">
        <f>+M221</f>
        <v>27825</v>
      </c>
      <c r="N220" s="71">
        <f t="shared" si="23"/>
        <v>5.0000000000000044E-2</v>
      </c>
      <c r="O220" s="81">
        <f>+O221</f>
        <v>29150</v>
      </c>
      <c r="P220" s="71">
        <f t="shared" si="23"/>
        <v>4.7619047619047672E-2</v>
      </c>
    </row>
    <row r="221" spans="1:16" x14ac:dyDescent="0.3">
      <c r="A221" s="147" t="s">
        <v>196</v>
      </c>
      <c r="D221" s="66"/>
      <c r="E221" s="26" t="s">
        <v>159</v>
      </c>
      <c r="F221" s="67" t="s">
        <v>165</v>
      </c>
      <c r="G221" s="96">
        <f>SUM(G222)</f>
        <v>100000</v>
      </c>
      <c r="H221" s="78" t="e">
        <f>#REF!/G221</f>
        <v>#REF!</v>
      </c>
      <c r="I221" s="52"/>
      <c r="J221" s="16">
        <v>26500</v>
      </c>
      <c r="K221" s="27">
        <v>26500</v>
      </c>
      <c r="L221" s="58">
        <f t="shared" si="19"/>
        <v>0</v>
      </c>
      <c r="M221" s="27">
        <v>27825</v>
      </c>
      <c r="N221" s="69">
        <f t="shared" si="23"/>
        <v>5.0000000000000044E-2</v>
      </c>
      <c r="O221" s="27">
        <v>29150</v>
      </c>
      <c r="P221" s="58">
        <f t="shared" si="23"/>
        <v>4.7619047619047672E-2</v>
      </c>
    </row>
    <row r="222" spans="1:16" x14ac:dyDescent="0.3">
      <c r="A222" s="205"/>
      <c r="B222" s="60"/>
      <c r="C222" s="60"/>
      <c r="D222" s="79" t="s">
        <v>143</v>
      </c>
      <c r="E222" s="79"/>
      <c r="F222" s="80"/>
      <c r="G222" s="76">
        <v>100000</v>
      </c>
      <c r="H222" s="73" t="e">
        <f>#REF!/G222</f>
        <v>#REF!</v>
      </c>
      <c r="I222" s="52"/>
      <c r="J222" s="81">
        <f>+J223</f>
        <v>20000</v>
      </c>
      <c r="K222" s="81">
        <f>+K223</f>
        <v>20000</v>
      </c>
      <c r="L222" s="65">
        <f t="shared" si="19"/>
        <v>0</v>
      </c>
      <c r="M222" s="81">
        <f>+M223</f>
        <v>21000</v>
      </c>
      <c r="N222" s="71">
        <f t="shared" si="23"/>
        <v>5.0000000000000044E-2</v>
      </c>
      <c r="O222" s="81">
        <f>+O223</f>
        <v>22000</v>
      </c>
      <c r="P222" s="71">
        <f t="shared" si="23"/>
        <v>4.7619047619047672E-2</v>
      </c>
    </row>
    <row r="223" spans="1:16" x14ac:dyDescent="0.3">
      <c r="A223" s="147" t="s">
        <v>196</v>
      </c>
      <c r="D223" s="66"/>
      <c r="E223" s="26" t="s">
        <v>156</v>
      </c>
      <c r="F223" s="87" t="s">
        <v>163</v>
      </c>
      <c r="G223" s="96">
        <f>SUM(G224)</f>
        <v>150000</v>
      </c>
      <c r="H223" s="78" t="e">
        <f>#REF!/G223</f>
        <v>#REF!</v>
      </c>
      <c r="I223" s="52"/>
      <c r="J223" s="16">
        <v>20000</v>
      </c>
      <c r="K223" s="27">
        <v>20000</v>
      </c>
      <c r="L223" s="58">
        <f t="shared" si="19"/>
        <v>0</v>
      </c>
      <c r="M223" s="27">
        <v>21000</v>
      </c>
      <c r="N223" s="69">
        <f t="shared" si="23"/>
        <v>5.0000000000000044E-2</v>
      </c>
      <c r="O223" s="27">
        <v>22000</v>
      </c>
      <c r="P223" s="58">
        <f t="shared" si="23"/>
        <v>4.7619047619047672E-2</v>
      </c>
    </row>
    <row r="224" spans="1:16" x14ac:dyDescent="0.3">
      <c r="A224" s="205"/>
      <c r="B224" s="60"/>
      <c r="C224" s="60"/>
      <c r="D224" s="79" t="s">
        <v>144</v>
      </c>
      <c r="E224" s="79"/>
      <c r="F224" s="80"/>
      <c r="G224" s="76">
        <v>150000</v>
      </c>
      <c r="H224" s="73" t="e">
        <f>#REF!/G224</f>
        <v>#REF!</v>
      </c>
      <c r="I224" s="52"/>
      <c r="J224" s="81">
        <f>+J225</f>
        <v>4000</v>
      </c>
      <c r="K224" s="81">
        <f>+K225</f>
        <v>20000</v>
      </c>
      <c r="L224" s="65">
        <f t="shared" si="19"/>
        <v>4</v>
      </c>
      <c r="M224" s="81">
        <f>+M225</f>
        <v>21000</v>
      </c>
      <c r="N224" s="71">
        <f t="shared" si="23"/>
        <v>5.0000000000000044E-2</v>
      </c>
      <c r="O224" s="81">
        <f>+O225</f>
        <v>22000</v>
      </c>
      <c r="P224" s="71">
        <f t="shared" si="23"/>
        <v>4.7619047619047672E-2</v>
      </c>
    </row>
    <row r="225" spans="1:18" x14ac:dyDescent="0.3">
      <c r="A225" s="149" t="s">
        <v>200</v>
      </c>
      <c r="D225" s="66"/>
      <c r="E225" s="26" t="s">
        <v>155</v>
      </c>
      <c r="F225" s="67" t="s">
        <v>166</v>
      </c>
      <c r="G225" s="96">
        <f>SUM(G226)</f>
        <v>20000</v>
      </c>
      <c r="H225" s="78" t="e">
        <f>#REF!/G225</f>
        <v>#REF!</v>
      </c>
      <c r="I225" s="52"/>
      <c r="J225" s="16">
        <v>4000</v>
      </c>
      <c r="K225" s="27">
        <v>20000</v>
      </c>
      <c r="L225" s="58">
        <f t="shared" si="19"/>
        <v>4</v>
      </c>
      <c r="M225" s="27">
        <v>21000</v>
      </c>
      <c r="N225" s="69">
        <f t="shared" si="23"/>
        <v>5.0000000000000044E-2</v>
      </c>
      <c r="O225" s="27">
        <v>22000</v>
      </c>
      <c r="P225" s="58">
        <f t="shared" si="23"/>
        <v>4.7619047619047672E-2</v>
      </c>
    </row>
    <row r="226" spans="1:18" x14ac:dyDescent="0.3">
      <c r="A226" s="207"/>
      <c r="B226" s="131"/>
      <c r="C226" s="131"/>
      <c r="D226" s="131"/>
      <c r="E226" s="131"/>
      <c r="F226" s="132" t="s">
        <v>145</v>
      </c>
      <c r="G226" s="133">
        <v>20000</v>
      </c>
      <c r="H226" s="134" t="e">
        <f>#REF!/G226</f>
        <v>#REF!</v>
      </c>
      <c r="I226" s="135"/>
      <c r="J226" s="136">
        <f>+J8+J13</f>
        <v>2562603.6</v>
      </c>
      <c r="K226" s="136">
        <f>+K8+K13</f>
        <v>3452100</v>
      </c>
      <c r="L226" s="137">
        <f t="shared" si="19"/>
        <v>0.34710651307911999</v>
      </c>
      <c r="M226" s="136">
        <f>+M8+M13</f>
        <v>3333545</v>
      </c>
      <c r="N226" s="138">
        <f t="shared" si="23"/>
        <v>-3.4342863764085574E-2</v>
      </c>
      <c r="O226" s="136">
        <f>+O8+O13</f>
        <v>3314190</v>
      </c>
      <c r="P226" s="138">
        <f t="shared" si="23"/>
        <v>-5.8061313106617662E-3</v>
      </c>
    </row>
    <row r="227" spans="1:18" x14ac:dyDescent="0.3">
      <c r="G227" s="96">
        <f>SUM(G228)</f>
        <v>650000</v>
      </c>
      <c r="H227" s="91" t="s">
        <v>56</v>
      </c>
      <c r="L227" s="139" t="s">
        <v>146</v>
      </c>
      <c r="N227" s="144"/>
      <c r="P227" s="25"/>
      <c r="R227"/>
    </row>
    <row r="228" spans="1:18" x14ac:dyDescent="0.3">
      <c r="G228" s="76">
        <v>650000</v>
      </c>
      <c r="H228" s="89" t="s">
        <v>56</v>
      </c>
      <c r="K228" s="16"/>
      <c r="L228" s="139"/>
      <c r="N228" s="144"/>
      <c r="O228" s="16"/>
      <c r="P228" s="25"/>
      <c r="R228"/>
    </row>
    <row r="229" spans="1:18" x14ac:dyDescent="0.3">
      <c r="F229" s="16"/>
      <c r="G229" s="140" t="e">
        <f>G213+G197+G169+#REF!+#REF!+G71+G49+#REF!+#REF!+#REF!</f>
        <v>#REF!</v>
      </c>
      <c r="H229" s="141" t="e">
        <f>#REF!/G229</f>
        <v>#REF!</v>
      </c>
      <c r="L229" s="139"/>
      <c r="N229" s="144"/>
      <c r="P229" s="25"/>
      <c r="R229"/>
    </row>
    <row r="230" spans="1:18" x14ac:dyDescent="0.3">
      <c r="K230" s="16"/>
      <c r="L230" s="139"/>
      <c r="N230" s="144"/>
      <c r="O230" s="16"/>
      <c r="P230" s="25"/>
      <c r="R230"/>
    </row>
    <row r="231" spans="1:18" x14ac:dyDescent="0.3">
      <c r="L231" s="139"/>
      <c r="N231" s="144"/>
      <c r="P231" s="25"/>
      <c r="R231"/>
    </row>
    <row r="232" spans="1:18" s="27" customFormat="1" x14ac:dyDescent="0.3">
      <c r="A232" s="145"/>
      <c r="B232" s="26"/>
      <c r="C232" s="26"/>
      <c r="D232" s="26"/>
      <c r="E232" s="26"/>
      <c r="F232"/>
      <c r="H232" s="28"/>
      <c r="I232" s="29"/>
      <c r="J232" s="16"/>
      <c r="K232" s="16"/>
      <c r="L232" s="139"/>
      <c r="M232" s="16"/>
      <c r="N232" s="144"/>
      <c r="O232" s="16"/>
      <c r="P232" s="25"/>
      <c r="Q232" s="25"/>
    </row>
  </sheetData>
  <autoFilter ref="A4:P226" xr:uid="{D893F2A1-0001-4FE8-97CF-188E0B3C01E9}"/>
  <pageMargins left="0.7" right="0.7" top="0.75" bottom="0.75" header="0.3" footer="0.3"/>
  <pageSetup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C539-9DF5-4B7F-A4EE-2211F87F4B8C}">
  <sheetPr>
    <tabColor theme="0" tint="-0.14999847407452621"/>
    <pageSetUpPr fitToPage="1"/>
  </sheetPr>
  <dimension ref="A1:M64"/>
  <sheetViews>
    <sheetView topLeftCell="B1" zoomScaleNormal="100" workbookViewId="0">
      <selection activeCell="D8" sqref="D8"/>
    </sheetView>
  </sheetViews>
  <sheetFormatPr defaultRowHeight="13.8" x14ac:dyDescent="0.25"/>
  <cols>
    <col min="1" max="1" width="36.21875" style="162" bestFit="1" customWidth="1"/>
    <col min="2" max="2" width="3.77734375" style="162" bestFit="1" customWidth="1"/>
    <col min="3" max="3" width="31.44140625" style="162" bestFit="1" customWidth="1"/>
    <col min="4" max="4" width="61.109375" style="162" bestFit="1" customWidth="1"/>
    <col min="5" max="5" width="12.88671875" style="164" customWidth="1"/>
    <col min="6" max="6" width="12.109375" style="164" customWidth="1"/>
    <col min="7" max="7" width="7.5546875" style="164" customWidth="1"/>
    <col min="8" max="8" width="14.33203125" style="164" customWidth="1"/>
    <col min="9" max="9" width="8.21875" style="164" customWidth="1"/>
    <col min="10" max="10" width="14.77734375" style="164" customWidth="1"/>
    <col min="11" max="11" width="5.21875" style="164" bestFit="1" customWidth="1"/>
    <col min="12" max="12" width="16.109375" style="162" customWidth="1"/>
    <col min="13" max="13" width="12.6640625" style="162" bestFit="1" customWidth="1"/>
    <col min="14" max="255" width="8.88671875" style="162"/>
    <col min="256" max="256" width="36.21875" style="162" bestFit="1" customWidth="1"/>
    <col min="257" max="257" width="3.77734375" style="162" bestFit="1" customWidth="1"/>
    <col min="258" max="259" width="4.77734375" style="162" customWidth="1"/>
    <col min="260" max="260" width="37.109375" style="162" bestFit="1" customWidth="1"/>
    <col min="261" max="261" width="12.88671875" style="162" customWidth="1"/>
    <col min="262" max="262" width="12.109375" style="162" customWidth="1"/>
    <col min="263" max="263" width="7.5546875" style="162" customWidth="1"/>
    <col min="264" max="264" width="14.33203125" style="162" customWidth="1"/>
    <col min="265" max="265" width="8.21875" style="162" customWidth="1"/>
    <col min="266" max="266" width="14.77734375" style="162" customWidth="1"/>
    <col min="267" max="267" width="5.21875" style="162" bestFit="1" customWidth="1"/>
    <col min="268" max="268" width="16.109375" style="162" customWidth="1"/>
    <col min="269" max="269" width="12.6640625" style="162" bestFit="1" customWidth="1"/>
    <col min="270" max="511" width="8.88671875" style="162"/>
    <col min="512" max="512" width="36.21875" style="162" bestFit="1" customWidth="1"/>
    <col min="513" max="513" width="3.77734375" style="162" bestFit="1" customWidth="1"/>
    <col min="514" max="515" width="4.77734375" style="162" customWidth="1"/>
    <col min="516" max="516" width="37.109375" style="162" bestFit="1" customWidth="1"/>
    <col min="517" max="517" width="12.88671875" style="162" customWidth="1"/>
    <col min="518" max="518" width="12.109375" style="162" customWidth="1"/>
    <col min="519" max="519" width="7.5546875" style="162" customWidth="1"/>
    <col min="520" max="520" width="14.33203125" style="162" customWidth="1"/>
    <col min="521" max="521" width="8.21875" style="162" customWidth="1"/>
    <col min="522" max="522" width="14.77734375" style="162" customWidth="1"/>
    <col min="523" max="523" width="5.21875" style="162" bestFit="1" customWidth="1"/>
    <col min="524" max="524" width="16.109375" style="162" customWidth="1"/>
    <col min="525" max="525" width="12.6640625" style="162" bestFit="1" customWidth="1"/>
    <col min="526" max="767" width="8.88671875" style="162"/>
    <col min="768" max="768" width="36.21875" style="162" bestFit="1" customWidth="1"/>
    <col min="769" max="769" width="3.77734375" style="162" bestFit="1" customWidth="1"/>
    <col min="770" max="771" width="4.77734375" style="162" customWidth="1"/>
    <col min="772" max="772" width="37.109375" style="162" bestFit="1" customWidth="1"/>
    <col min="773" max="773" width="12.88671875" style="162" customWidth="1"/>
    <col min="774" max="774" width="12.109375" style="162" customWidth="1"/>
    <col min="775" max="775" width="7.5546875" style="162" customWidth="1"/>
    <col min="776" max="776" width="14.33203125" style="162" customWidth="1"/>
    <col min="777" max="777" width="8.21875" style="162" customWidth="1"/>
    <col min="778" max="778" width="14.77734375" style="162" customWidth="1"/>
    <col min="779" max="779" width="5.21875" style="162" bestFit="1" customWidth="1"/>
    <col min="780" max="780" width="16.109375" style="162" customWidth="1"/>
    <col min="781" max="781" width="12.6640625" style="162" bestFit="1" customWidth="1"/>
    <col min="782" max="1023" width="8.88671875" style="162"/>
    <col min="1024" max="1024" width="36.21875" style="162" bestFit="1" customWidth="1"/>
    <col min="1025" max="1025" width="3.77734375" style="162" bestFit="1" customWidth="1"/>
    <col min="1026" max="1027" width="4.77734375" style="162" customWidth="1"/>
    <col min="1028" max="1028" width="37.109375" style="162" bestFit="1" customWidth="1"/>
    <col min="1029" max="1029" width="12.88671875" style="162" customWidth="1"/>
    <col min="1030" max="1030" width="12.109375" style="162" customWidth="1"/>
    <col min="1031" max="1031" width="7.5546875" style="162" customWidth="1"/>
    <col min="1032" max="1032" width="14.33203125" style="162" customWidth="1"/>
    <col min="1033" max="1033" width="8.21875" style="162" customWidth="1"/>
    <col min="1034" max="1034" width="14.77734375" style="162" customWidth="1"/>
    <col min="1035" max="1035" width="5.21875" style="162" bestFit="1" customWidth="1"/>
    <col min="1036" max="1036" width="16.109375" style="162" customWidth="1"/>
    <col min="1037" max="1037" width="12.6640625" style="162" bestFit="1" customWidth="1"/>
    <col min="1038" max="1279" width="8.88671875" style="162"/>
    <col min="1280" max="1280" width="36.21875" style="162" bestFit="1" customWidth="1"/>
    <col min="1281" max="1281" width="3.77734375" style="162" bestFit="1" customWidth="1"/>
    <col min="1282" max="1283" width="4.77734375" style="162" customWidth="1"/>
    <col min="1284" max="1284" width="37.109375" style="162" bestFit="1" customWidth="1"/>
    <col min="1285" max="1285" width="12.88671875" style="162" customWidth="1"/>
    <col min="1286" max="1286" width="12.109375" style="162" customWidth="1"/>
    <col min="1287" max="1287" width="7.5546875" style="162" customWidth="1"/>
    <col min="1288" max="1288" width="14.33203125" style="162" customWidth="1"/>
    <col min="1289" max="1289" width="8.21875" style="162" customWidth="1"/>
    <col min="1290" max="1290" width="14.77734375" style="162" customWidth="1"/>
    <col min="1291" max="1291" width="5.21875" style="162" bestFit="1" customWidth="1"/>
    <col min="1292" max="1292" width="16.109375" style="162" customWidth="1"/>
    <col min="1293" max="1293" width="12.6640625" style="162" bestFit="1" customWidth="1"/>
    <col min="1294" max="1535" width="8.88671875" style="162"/>
    <col min="1536" max="1536" width="36.21875" style="162" bestFit="1" customWidth="1"/>
    <col min="1537" max="1537" width="3.77734375" style="162" bestFit="1" customWidth="1"/>
    <col min="1538" max="1539" width="4.77734375" style="162" customWidth="1"/>
    <col min="1540" max="1540" width="37.109375" style="162" bestFit="1" customWidth="1"/>
    <col min="1541" max="1541" width="12.88671875" style="162" customWidth="1"/>
    <col min="1542" max="1542" width="12.109375" style="162" customWidth="1"/>
    <col min="1543" max="1543" width="7.5546875" style="162" customWidth="1"/>
    <col min="1544" max="1544" width="14.33203125" style="162" customWidth="1"/>
    <col min="1545" max="1545" width="8.21875" style="162" customWidth="1"/>
    <col min="1546" max="1546" width="14.77734375" style="162" customWidth="1"/>
    <col min="1547" max="1547" width="5.21875" style="162" bestFit="1" customWidth="1"/>
    <col min="1548" max="1548" width="16.109375" style="162" customWidth="1"/>
    <col min="1549" max="1549" width="12.6640625" style="162" bestFit="1" customWidth="1"/>
    <col min="1550" max="1791" width="8.88671875" style="162"/>
    <col min="1792" max="1792" width="36.21875" style="162" bestFit="1" customWidth="1"/>
    <col min="1793" max="1793" width="3.77734375" style="162" bestFit="1" customWidth="1"/>
    <col min="1794" max="1795" width="4.77734375" style="162" customWidth="1"/>
    <col min="1796" max="1796" width="37.109375" style="162" bestFit="1" customWidth="1"/>
    <col min="1797" max="1797" width="12.88671875" style="162" customWidth="1"/>
    <col min="1798" max="1798" width="12.109375" style="162" customWidth="1"/>
    <col min="1799" max="1799" width="7.5546875" style="162" customWidth="1"/>
    <col min="1800" max="1800" width="14.33203125" style="162" customWidth="1"/>
    <col min="1801" max="1801" width="8.21875" style="162" customWidth="1"/>
    <col min="1802" max="1802" width="14.77734375" style="162" customWidth="1"/>
    <col min="1803" max="1803" width="5.21875" style="162" bestFit="1" customWidth="1"/>
    <col min="1804" max="1804" width="16.109375" style="162" customWidth="1"/>
    <col min="1805" max="1805" width="12.6640625" style="162" bestFit="1" customWidth="1"/>
    <col min="1806" max="2047" width="8.88671875" style="162"/>
    <col min="2048" max="2048" width="36.21875" style="162" bestFit="1" customWidth="1"/>
    <col min="2049" max="2049" width="3.77734375" style="162" bestFit="1" customWidth="1"/>
    <col min="2050" max="2051" width="4.77734375" style="162" customWidth="1"/>
    <col min="2052" max="2052" width="37.109375" style="162" bestFit="1" customWidth="1"/>
    <col min="2053" max="2053" width="12.88671875" style="162" customWidth="1"/>
    <col min="2054" max="2054" width="12.109375" style="162" customWidth="1"/>
    <col min="2055" max="2055" width="7.5546875" style="162" customWidth="1"/>
    <col min="2056" max="2056" width="14.33203125" style="162" customWidth="1"/>
    <col min="2057" max="2057" width="8.21875" style="162" customWidth="1"/>
    <col min="2058" max="2058" width="14.77734375" style="162" customWidth="1"/>
    <col min="2059" max="2059" width="5.21875" style="162" bestFit="1" customWidth="1"/>
    <col min="2060" max="2060" width="16.109375" style="162" customWidth="1"/>
    <col min="2061" max="2061" width="12.6640625" style="162" bestFit="1" customWidth="1"/>
    <col min="2062" max="2303" width="8.88671875" style="162"/>
    <col min="2304" max="2304" width="36.21875" style="162" bestFit="1" customWidth="1"/>
    <col min="2305" max="2305" width="3.77734375" style="162" bestFit="1" customWidth="1"/>
    <col min="2306" max="2307" width="4.77734375" style="162" customWidth="1"/>
    <col min="2308" max="2308" width="37.109375" style="162" bestFit="1" customWidth="1"/>
    <col min="2309" max="2309" width="12.88671875" style="162" customWidth="1"/>
    <col min="2310" max="2310" width="12.109375" style="162" customWidth="1"/>
    <col min="2311" max="2311" width="7.5546875" style="162" customWidth="1"/>
    <col min="2312" max="2312" width="14.33203125" style="162" customWidth="1"/>
    <col min="2313" max="2313" width="8.21875" style="162" customWidth="1"/>
    <col min="2314" max="2314" width="14.77734375" style="162" customWidth="1"/>
    <col min="2315" max="2315" width="5.21875" style="162" bestFit="1" customWidth="1"/>
    <col min="2316" max="2316" width="16.109375" style="162" customWidth="1"/>
    <col min="2317" max="2317" width="12.6640625" style="162" bestFit="1" customWidth="1"/>
    <col min="2318" max="2559" width="8.88671875" style="162"/>
    <col min="2560" max="2560" width="36.21875" style="162" bestFit="1" customWidth="1"/>
    <col min="2561" max="2561" width="3.77734375" style="162" bestFit="1" customWidth="1"/>
    <col min="2562" max="2563" width="4.77734375" style="162" customWidth="1"/>
    <col min="2564" max="2564" width="37.109375" style="162" bestFit="1" customWidth="1"/>
    <col min="2565" max="2565" width="12.88671875" style="162" customWidth="1"/>
    <col min="2566" max="2566" width="12.109375" style="162" customWidth="1"/>
    <col min="2567" max="2567" width="7.5546875" style="162" customWidth="1"/>
    <col min="2568" max="2568" width="14.33203125" style="162" customWidth="1"/>
    <col min="2569" max="2569" width="8.21875" style="162" customWidth="1"/>
    <col min="2570" max="2570" width="14.77734375" style="162" customWidth="1"/>
    <col min="2571" max="2571" width="5.21875" style="162" bestFit="1" customWidth="1"/>
    <col min="2572" max="2572" width="16.109375" style="162" customWidth="1"/>
    <col min="2573" max="2573" width="12.6640625" style="162" bestFit="1" customWidth="1"/>
    <col min="2574" max="2815" width="8.88671875" style="162"/>
    <col min="2816" max="2816" width="36.21875" style="162" bestFit="1" customWidth="1"/>
    <col min="2817" max="2817" width="3.77734375" style="162" bestFit="1" customWidth="1"/>
    <col min="2818" max="2819" width="4.77734375" style="162" customWidth="1"/>
    <col min="2820" max="2820" width="37.109375" style="162" bestFit="1" customWidth="1"/>
    <col min="2821" max="2821" width="12.88671875" style="162" customWidth="1"/>
    <col min="2822" max="2822" width="12.109375" style="162" customWidth="1"/>
    <col min="2823" max="2823" width="7.5546875" style="162" customWidth="1"/>
    <col min="2824" max="2824" width="14.33203125" style="162" customWidth="1"/>
    <col min="2825" max="2825" width="8.21875" style="162" customWidth="1"/>
    <col min="2826" max="2826" width="14.77734375" style="162" customWidth="1"/>
    <col min="2827" max="2827" width="5.21875" style="162" bestFit="1" customWidth="1"/>
    <col min="2828" max="2828" width="16.109375" style="162" customWidth="1"/>
    <col min="2829" max="2829" width="12.6640625" style="162" bestFit="1" customWidth="1"/>
    <col min="2830" max="3071" width="8.88671875" style="162"/>
    <col min="3072" max="3072" width="36.21875" style="162" bestFit="1" customWidth="1"/>
    <col min="3073" max="3073" width="3.77734375" style="162" bestFit="1" customWidth="1"/>
    <col min="3074" max="3075" width="4.77734375" style="162" customWidth="1"/>
    <col min="3076" max="3076" width="37.109375" style="162" bestFit="1" customWidth="1"/>
    <col min="3077" max="3077" width="12.88671875" style="162" customWidth="1"/>
    <col min="3078" max="3078" width="12.109375" style="162" customWidth="1"/>
    <col min="3079" max="3079" width="7.5546875" style="162" customWidth="1"/>
    <col min="3080" max="3080" width="14.33203125" style="162" customWidth="1"/>
    <col min="3081" max="3081" width="8.21875" style="162" customWidth="1"/>
    <col min="3082" max="3082" width="14.77734375" style="162" customWidth="1"/>
    <col min="3083" max="3083" width="5.21875" style="162" bestFit="1" customWidth="1"/>
    <col min="3084" max="3084" width="16.109375" style="162" customWidth="1"/>
    <col min="3085" max="3085" width="12.6640625" style="162" bestFit="1" customWidth="1"/>
    <col min="3086" max="3327" width="8.88671875" style="162"/>
    <col min="3328" max="3328" width="36.21875" style="162" bestFit="1" customWidth="1"/>
    <col min="3329" max="3329" width="3.77734375" style="162" bestFit="1" customWidth="1"/>
    <col min="3330" max="3331" width="4.77734375" style="162" customWidth="1"/>
    <col min="3332" max="3332" width="37.109375" style="162" bestFit="1" customWidth="1"/>
    <col min="3333" max="3333" width="12.88671875" style="162" customWidth="1"/>
    <col min="3334" max="3334" width="12.109375" style="162" customWidth="1"/>
    <col min="3335" max="3335" width="7.5546875" style="162" customWidth="1"/>
    <col min="3336" max="3336" width="14.33203125" style="162" customWidth="1"/>
    <col min="3337" max="3337" width="8.21875" style="162" customWidth="1"/>
    <col min="3338" max="3338" width="14.77734375" style="162" customWidth="1"/>
    <col min="3339" max="3339" width="5.21875" style="162" bestFit="1" customWidth="1"/>
    <col min="3340" max="3340" width="16.109375" style="162" customWidth="1"/>
    <col min="3341" max="3341" width="12.6640625" style="162" bestFit="1" customWidth="1"/>
    <col min="3342" max="3583" width="8.88671875" style="162"/>
    <col min="3584" max="3584" width="36.21875" style="162" bestFit="1" customWidth="1"/>
    <col min="3585" max="3585" width="3.77734375" style="162" bestFit="1" customWidth="1"/>
    <col min="3586" max="3587" width="4.77734375" style="162" customWidth="1"/>
    <col min="3588" max="3588" width="37.109375" style="162" bestFit="1" customWidth="1"/>
    <col min="3589" max="3589" width="12.88671875" style="162" customWidth="1"/>
    <col min="3590" max="3590" width="12.109375" style="162" customWidth="1"/>
    <col min="3591" max="3591" width="7.5546875" style="162" customWidth="1"/>
    <col min="3592" max="3592" width="14.33203125" style="162" customWidth="1"/>
    <col min="3593" max="3593" width="8.21875" style="162" customWidth="1"/>
    <col min="3594" max="3594" width="14.77734375" style="162" customWidth="1"/>
    <col min="3595" max="3595" width="5.21875" style="162" bestFit="1" customWidth="1"/>
    <col min="3596" max="3596" width="16.109375" style="162" customWidth="1"/>
    <col min="3597" max="3597" width="12.6640625" style="162" bestFit="1" customWidth="1"/>
    <col min="3598" max="3839" width="8.88671875" style="162"/>
    <col min="3840" max="3840" width="36.21875" style="162" bestFit="1" customWidth="1"/>
    <col min="3841" max="3841" width="3.77734375" style="162" bestFit="1" customWidth="1"/>
    <col min="3842" max="3843" width="4.77734375" style="162" customWidth="1"/>
    <col min="3844" max="3844" width="37.109375" style="162" bestFit="1" customWidth="1"/>
    <col min="3845" max="3845" width="12.88671875" style="162" customWidth="1"/>
    <col min="3846" max="3846" width="12.109375" style="162" customWidth="1"/>
    <col min="3847" max="3847" width="7.5546875" style="162" customWidth="1"/>
    <col min="3848" max="3848" width="14.33203125" style="162" customWidth="1"/>
    <col min="3849" max="3849" width="8.21875" style="162" customWidth="1"/>
    <col min="3850" max="3850" width="14.77734375" style="162" customWidth="1"/>
    <col min="3851" max="3851" width="5.21875" style="162" bestFit="1" customWidth="1"/>
    <col min="3852" max="3852" width="16.109375" style="162" customWidth="1"/>
    <col min="3853" max="3853" width="12.6640625" style="162" bestFit="1" customWidth="1"/>
    <col min="3854" max="4095" width="8.88671875" style="162"/>
    <col min="4096" max="4096" width="36.21875" style="162" bestFit="1" customWidth="1"/>
    <col min="4097" max="4097" width="3.77734375" style="162" bestFit="1" customWidth="1"/>
    <col min="4098" max="4099" width="4.77734375" style="162" customWidth="1"/>
    <col min="4100" max="4100" width="37.109375" style="162" bestFit="1" customWidth="1"/>
    <col min="4101" max="4101" width="12.88671875" style="162" customWidth="1"/>
    <col min="4102" max="4102" width="12.109375" style="162" customWidth="1"/>
    <col min="4103" max="4103" width="7.5546875" style="162" customWidth="1"/>
    <col min="4104" max="4104" width="14.33203125" style="162" customWidth="1"/>
    <col min="4105" max="4105" width="8.21875" style="162" customWidth="1"/>
    <col min="4106" max="4106" width="14.77734375" style="162" customWidth="1"/>
    <col min="4107" max="4107" width="5.21875" style="162" bestFit="1" customWidth="1"/>
    <col min="4108" max="4108" width="16.109375" style="162" customWidth="1"/>
    <col min="4109" max="4109" width="12.6640625" style="162" bestFit="1" customWidth="1"/>
    <col min="4110" max="4351" width="8.88671875" style="162"/>
    <col min="4352" max="4352" width="36.21875" style="162" bestFit="1" customWidth="1"/>
    <col min="4353" max="4353" width="3.77734375" style="162" bestFit="1" customWidth="1"/>
    <col min="4354" max="4355" width="4.77734375" style="162" customWidth="1"/>
    <col min="4356" max="4356" width="37.109375" style="162" bestFit="1" customWidth="1"/>
    <col min="4357" max="4357" width="12.88671875" style="162" customWidth="1"/>
    <col min="4358" max="4358" width="12.109375" style="162" customWidth="1"/>
    <col min="4359" max="4359" width="7.5546875" style="162" customWidth="1"/>
    <col min="4360" max="4360" width="14.33203125" style="162" customWidth="1"/>
    <col min="4361" max="4361" width="8.21875" style="162" customWidth="1"/>
    <col min="4362" max="4362" width="14.77734375" style="162" customWidth="1"/>
    <col min="4363" max="4363" width="5.21875" style="162" bestFit="1" customWidth="1"/>
    <col min="4364" max="4364" width="16.109375" style="162" customWidth="1"/>
    <col min="4365" max="4365" width="12.6640625" style="162" bestFit="1" customWidth="1"/>
    <col min="4366" max="4607" width="8.88671875" style="162"/>
    <col min="4608" max="4608" width="36.21875" style="162" bestFit="1" customWidth="1"/>
    <col min="4609" max="4609" width="3.77734375" style="162" bestFit="1" customWidth="1"/>
    <col min="4610" max="4611" width="4.77734375" style="162" customWidth="1"/>
    <col min="4612" max="4612" width="37.109375" style="162" bestFit="1" customWidth="1"/>
    <col min="4613" max="4613" width="12.88671875" style="162" customWidth="1"/>
    <col min="4614" max="4614" width="12.109375" style="162" customWidth="1"/>
    <col min="4615" max="4615" width="7.5546875" style="162" customWidth="1"/>
    <col min="4616" max="4616" width="14.33203125" style="162" customWidth="1"/>
    <col min="4617" max="4617" width="8.21875" style="162" customWidth="1"/>
    <col min="4618" max="4618" width="14.77734375" style="162" customWidth="1"/>
    <col min="4619" max="4619" width="5.21875" style="162" bestFit="1" customWidth="1"/>
    <col min="4620" max="4620" width="16.109375" style="162" customWidth="1"/>
    <col min="4621" max="4621" width="12.6640625" style="162" bestFit="1" customWidth="1"/>
    <col min="4622" max="4863" width="8.88671875" style="162"/>
    <col min="4864" max="4864" width="36.21875" style="162" bestFit="1" customWidth="1"/>
    <col min="4865" max="4865" width="3.77734375" style="162" bestFit="1" customWidth="1"/>
    <col min="4866" max="4867" width="4.77734375" style="162" customWidth="1"/>
    <col min="4868" max="4868" width="37.109375" style="162" bestFit="1" customWidth="1"/>
    <col min="4869" max="4869" width="12.88671875" style="162" customWidth="1"/>
    <col min="4870" max="4870" width="12.109375" style="162" customWidth="1"/>
    <col min="4871" max="4871" width="7.5546875" style="162" customWidth="1"/>
    <col min="4872" max="4872" width="14.33203125" style="162" customWidth="1"/>
    <col min="4873" max="4873" width="8.21875" style="162" customWidth="1"/>
    <col min="4874" max="4874" width="14.77734375" style="162" customWidth="1"/>
    <col min="4875" max="4875" width="5.21875" style="162" bestFit="1" customWidth="1"/>
    <col min="4876" max="4876" width="16.109375" style="162" customWidth="1"/>
    <col min="4877" max="4877" width="12.6640625" style="162" bestFit="1" customWidth="1"/>
    <col min="4878" max="5119" width="8.88671875" style="162"/>
    <col min="5120" max="5120" width="36.21875" style="162" bestFit="1" customWidth="1"/>
    <col min="5121" max="5121" width="3.77734375" style="162" bestFit="1" customWidth="1"/>
    <col min="5122" max="5123" width="4.77734375" style="162" customWidth="1"/>
    <col min="5124" max="5124" width="37.109375" style="162" bestFit="1" customWidth="1"/>
    <col min="5125" max="5125" width="12.88671875" style="162" customWidth="1"/>
    <col min="5126" max="5126" width="12.109375" style="162" customWidth="1"/>
    <col min="5127" max="5127" width="7.5546875" style="162" customWidth="1"/>
    <col min="5128" max="5128" width="14.33203125" style="162" customWidth="1"/>
    <col min="5129" max="5129" width="8.21875" style="162" customWidth="1"/>
    <col min="5130" max="5130" width="14.77734375" style="162" customWidth="1"/>
    <col min="5131" max="5131" width="5.21875" style="162" bestFit="1" customWidth="1"/>
    <col min="5132" max="5132" width="16.109375" style="162" customWidth="1"/>
    <col min="5133" max="5133" width="12.6640625" style="162" bestFit="1" customWidth="1"/>
    <col min="5134" max="5375" width="8.88671875" style="162"/>
    <col min="5376" max="5376" width="36.21875" style="162" bestFit="1" customWidth="1"/>
    <col min="5377" max="5377" width="3.77734375" style="162" bestFit="1" customWidth="1"/>
    <col min="5378" max="5379" width="4.77734375" style="162" customWidth="1"/>
    <col min="5380" max="5380" width="37.109375" style="162" bestFit="1" customWidth="1"/>
    <col min="5381" max="5381" width="12.88671875" style="162" customWidth="1"/>
    <col min="5382" max="5382" width="12.109375" style="162" customWidth="1"/>
    <col min="5383" max="5383" width="7.5546875" style="162" customWidth="1"/>
    <col min="5384" max="5384" width="14.33203125" style="162" customWidth="1"/>
    <col min="5385" max="5385" width="8.21875" style="162" customWidth="1"/>
    <col min="5386" max="5386" width="14.77734375" style="162" customWidth="1"/>
    <col min="5387" max="5387" width="5.21875" style="162" bestFit="1" customWidth="1"/>
    <col min="5388" max="5388" width="16.109375" style="162" customWidth="1"/>
    <col min="5389" max="5389" width="12.6640625" style="162" bestFit="1" customWidth="1"/>
    <col min="5390" max="5631" width="8.88671875" style="162"/>
    <col min="5632" max="5632" width="36.21875" style="162" bestFit="1" customWidth="1"/>
    <col min="5633" max="5633" width="3.77734375" style="162" bestFit="1" customWidth="1"/>
    <col min="5634" max="5635" width="4.77734375" style="162" customWidth="1"/>
    <col min="5636" max="5636" width="37.109375" style="162" bestFit="1" customWidth="1"/>
    <col min="5637" max="5637" width="12.88671875" style="162" customWidth="1"/>
    <col min="5638" max="5638" width="12.109375" style="162" customWidth="1"/>
    <col min="5639" max="5639" width="7.5546875" style="162" customWidth="1"/>
    <col min="5640" max="5640" width="14.33203125" style="162" customWidth="1"/>
    <col min="5641" max="5641" width="8.21875" style="162" customWidth="1"/>
    <col min="5642" max="5642" width="14.77734375" style="162" customWidth="1"/>
    <col min="5643" max="5643" width="5.21875" style="162" bestFit="1" customWidth="1"/>
    <col min="5644" max="5644" width="16.109375" style="162" customWidth="1"/>
    <col min="5645" max="5645" width="12.6640625" style="162" bestFit="1" customWidth="1"/>
    <col min="5646" max="5887" width="8.88671875" style="162"/>
    <col min="5888" max="5888" width="36.21875" style="162" bestFit="1" customWidth="1"/>
    <col min="5889" max="5889" width="3.77734375" style="162" bestFit="1" customWidth="1"/>
    <col min="5890" max="5891" width="4.77734375" style="162" customWidth="1"/>
    <col min="5892" max="5892" width="37.109375" style="162" bestFit="1" customWidth="1"/>
    <col min="5893" max="5893" width="12.88671875" style="162" customWidth="1"/>
    <col min="5894" max="5894" width="12.109375" style="162" customWidth="1"/>
    <col min="5895" max="5895" width="7.5546875" style="162" customWidth="1"/>
    <col min="5896" max="5896" width="14.33203125" style="162" customWidth="1"/>
    <col min="5897" max="5897" width="8.21875" style="162" customWidth="1"/>
    <col min="5898" max="5898" width="14.77734375" style="162" customWidth="1"/>
    <col min="5899" max="5899" width="5.21875" style="162" bestFit="1" customWidth="1"/>
    <col min="5900" max="5900" width="16.109375" style="162" customWidth="1"/>
    <col min="5901" max="5901" width="12.6640625" style="162" bestFit="1" customWidth="1"/>
    <col min="5902" max="6143" width="8.88671875" style="162"/>
    <col min="6144" max="6144" width="36.21875" style="162" bestFit="1" customWidth="1"/>
    <col min="6145" max="6145" width="3.77734375" style="162" bestFit="1" customWidth="1"/>
    <col min="6146" max="6147" width="4.77734375" style="162" customWidth="1"/>
    <col min="6148" max="6148" width="37.109375" style="162" bestFit="1" customWidth="1"/>
    <col min="6149" max="6149" width="12.88671875" style="162" customWidth="1"/>
    <col min="6150" max="6150" width="12.109375" style="162" customWidth="1"/>
    <col min="6151" max="6151" width="7.5546875" style="162" customWidth="1"/>
    <col min="6152" max="6152" width="14.33203125" style="162" customWidth="1"/>
    <col min="6153" max="6153" width="8.21875" style="162" customWidth="1"/>
    <col min="6154" max="6154" width="14.77734375" style="162" customWidth="1"/>
    <col min="6155" max="6155" width="5.21875" style="162" bestFit="1" customWidth="1"/>
    <col min="6156" max="6156" width="16.109375" style="162" customWidth="1"/>
    <col min="6157" max="6157" width="12.6640625" style="162" bestFit="1" customWidth="1"/>
    <col min="6158" max="6399" width="8.88671875" style="162"/>
    <col min="6400" max="6400" width="36.21875" style="162" bestFit="1" customWidth="1"/>
    <col min="6401" max="6401" width="3.77734375" style="162" bestFit="1" customWidth="1"/>
    <col min="6402" max="6403" width="4.77734375" style="162" customWidth="1"/>
    <col min="6404" max="6404" width="37.109375" style="162" bestFit="1" customWidth="1"/>
    <col min="6405" max="6405" width="12.88671875" style="162" customWidth="1"/>
    <col min="6406" max="6406" width="12.109375" style="162" customWidth="1"/>
    <col min="6407" max="6407" width="7.5546875" style="162" customWidth="1"/>
    <col min="6408" max="6408" width="14.33203125" style="162" customWidth="1"/>
    <col min="6409" max="6409" width="8.21875" style="162" customWidth="1"/>
    <col min="6410" max="6410" width="14.77734375" style="162" customWidth="1"/>
    <col min="6411" max="6411" width="5.21875" style="162" bestFit="1" customWidth="1"/>
    <col min="6412" max="6412" width="16.109375" style="162" customWidth="1"/>
    <col min="6413" max="6413" width="12.6640625" style="162" bestFit="1" customWidth="1"/>
    <col min="6414" max="6655" width="8.88671875" style="162"/>
    <col min="6656" max="6656" width="36.21875" style="162" bestFit="1" customWidth="1"/>
    <col min="6657" max="6657" width="3.77734375" style="162" bestFit="1" customWidth="1"/>
    <col min="6658" max="6659" width="4.77734375" style="162" customWidth="1"/>
    <col min="6660" max="6660" width="37.109375" style="162" bestFit="1" customWidth="1"/>
    <col min="6661" max="6661" width="12.88671875" style="162" customWidth="1"/>
    <col min="6662" max="6662" width="12.109375" style="162" customWidth="1"/>
    <col min="6663" max="6663" width="7.5546875" style="162" customWidth="1"/>
    <col min="6664" max="6664" width="14.33203125" style="162" customWidth="1"/>
    <col min="6665" max="6665" width="8.21875" style="162" customWidth="1"/>
    <col min="6666" max="6666" width="14.77734375" style="162" customWidth="1"/>
    <col min="6667" max="6667" width="5.21875" style="162" bestFit="1" customWidth="1"/>
    <col min="6668" max="6668" width="16.109375" style="162" customWidth="1"/>
    <col min="6669" max="6669" width="12.6640625" style="162" bestFit="1" customWidth="1"/>
    <col min="6670" max="6911" width="8.88671875" style="162"/>
    <col min="6912" max="6912" width="36.21875" style="162" bestFit="1" customWidth="1"/>
    <col min="6913" max="6913" width="3.77734375" style="162" bestFit="1" customWidth="1"/>
    <col min="6914" max="6915" width="4.77734375" style="162" customWidth="1"/>
    <col min="6916" max="6916" width="37.109375" style="162" bestFit="1" customWidth="1"/>
    <col min="6917" max="6917" width="12.88671875" style="162" customWidth="1"/>
    <col min="6918" max="6918" width="12.109375" style="162" customWidth="1"/>
    <col min="6919" max="6919" width="7.5546875" style="162" customWidth="1"/>
    <col min="6920" max="6920" width="14.33203125" style="162" customWidth="1"/>
    <col min="6921" max="6921" width="8.21875" style="162" customWidth="1"/>
    <col min="6922" max="6922" width="14.77734375" style="162" customWidth="1"/>
    <col min="6923" max="6923" width="5.21875" style="162" bestFit="1" customWidth="1"/>
    <col min="6924" max="6924" width="16.109375" style="162" customWidth="1"/>
    <col min="6925" max="6925" width="12.6640625" style="162" bestFit="1" customWidth="1"/>
    <col min="6926" max="7167" width="8.88671875" style="162"/>
    <col min="7168" max="7168" width="36.21875" style="162" bestFit="1" customWidth="1"/>
    <col min="7169" max="7169" width="3.77734375" style="162" bestFit="1" customWidth="1"/>
    <col min="7170" max="7171" width="4.77734375" style="162" customWidth="1"/>
    <col min="7172" max="7172" width="37.109375" style="162" bestFit="1" customWidth="1"/>
    <col min="7173" max="7173" width="12.88671875" style="162" customWidth="1"/>
    <col min="7174" max="7174" width="12.109375" style="162" customWidth="1"/>
    <col min="7175" max="7175" width="7.5546875" style="162" customWidth="1"/>
    <col min="7176" max="7176" width="14.33203125" style="162" customWidth="1"/>
    <col min="7177" max="7177" width="8.21875" style="162" customWidth="1"/>
    <col min="7178" max="7178" width="14.77734375" style="162" customWidth="1"/>
    <col min="7179" max="7179" width="5.21875" style="162" bestFit="1" customWidth="1"/>
    <col min="7180" max="7180" width="16.109375" style="162" customWidth="1"/>
    <col min="7181" max="7181" width="12.6640625" style="162" bestFit="1" customWidth="1"/>
    <col min="7182" max="7423" width="8.88671875" style="162"/>
    <col min="7424" max="7424" width="36.21875" style="162" bestFit="1" customWidth="1"/>
    <col min="7425" max="7425" width="3.77734375" style="162" bestFit="1" customWidth="1"/>
    <col min="7426" max="7427" width="4.77734375" style="162" customWidth="1"/>
    <col min="7428" max="7428" width="37.109375" style="162" bestFit="1" customWidth="1"/>
    <col min="7429" max="7429" width="12.88671875" style="162" customWidth="1"/>
    <col min="7430" max="7430" width="12.109375" style="162" customWidth="1"/>
    <col min="7431" max="7431" width="7.5546875" style="162" customWidth="1"/>
    <col min="7432" max="7432" width="14.33203125" style="162" customWidth="1"/>
    <col min="7433" max="7433" width="8.21875" style="162" customWidth="1"/>
    <col min="7434" max="7434" width="14.77734375" style="162" customWidth="1"/>
    <col min="7435" max="7435" width="5.21875" style="162" bestFit="1" customWidth="1"/>
    <col min="7436" max="7436" width="16.109375" style="162" customWidth="1"/>
    <col min="7437" max="7437" width="12.6640625" style="162" bestFit="1" customWidth="1"/>
    <col min="7438" max="7679" width="8.88671875" style="162"/>
    <col min="7680" max="7680" width="36.21875" style="162" bestFit="1" customWidth="1"/>
    <col min="7681" max="7681" width="3.77734375" style="162" bestFit="1" customWidth="1"/>
    <col min="7682" max="7683" width="4.77734375" style="162" customWidth="1"/>
    <col min="7684" max="7684" width="37.109375" style="162" bestFit="1" customWidth="1"/>
    <col min="7685" max="7685" width="12.88671875" style="162" customWidth="1"/>
    <col min="7686" max="7686" width="12.109375" style="162" customWidth="1"/>
    <col min="7687" max="7687" width="7.5546875" style="162" customWidth="1"/>
    <col min="7688" max="7688" width="14.33203125" style="162" customWidth="1"/>
    <col min="7689" max="7689" width="8.21875" style="162" customWidth="1"/>
    <col min="7690" max="7690" width="14.77734375" style="162" customWidth="1"/>
    <col min="7691" max="7691" width="5.21875" style="162" bestFit="1" customWidth="1"/>
    <col min="7692" max="7692" width="16.109375" style="162" customWidth="1"/>
    <col min="7693" max="7693" width="12.6640625" style="162" bestFit="1" customWidth="1"/>
    <col min="7694" max="7935" width="8.88671875" style="162"/>
    <col min="7936" max="7936" width="36.21875" style="162" bestFit="1" customWidth="1"/>
    <col min="7937" max="7937" width="3.77734375" style="162" bestFit="1" customWidth="1"/>
    <col min="7938" max="7939" width="4.77734375" style="162" customWidth="1"/>
    <col min="7940" max="7940" width="37.109375" style="162" bestFit="1" customWidth="1"/>
    <col min="7941" max="7941" width="12.88671875" style="162" customWidth="1"/>
    <col min="7942" max="7942" width="12.109375" style="162" customWidth="1"/>
    <col min="7943" max="7943" width="7.5546875" style="162" customWidth="1"/>
    <col min="7944" max="7944" width="14.33203125" style="162" customWidth="1"/>
    <col min="7945" max="7945" width="8.21875" style="162" customWidth="1"/>
    <col min="7946" max="7946" width="14.77734375" style="162" customWidth="1"/>
    <col min="7947" max="7947" width="5.21875" style="162" bestFit="1" customWidth="1"/>
    <col min="7948" max="7948" width="16.109375" style="162" customWidth="1"/>
    <col min="7949" max="7949" width="12.6640625" style="162" bestFit="1" customWidth="1"/>
    <col min="7950" max="8191" width="8.88671875" style="162"/>
    <col min="8192" max="8192" width="36.21875" style="162" bestFit="1" customWidth="1"/>
    <col min="8193" max="8193" width="3.77734375" style="162" bestFit="1" customWidth="1"/>
    <col min="8194" max="8195" width="4.77734375" style="162" customWidth="1"/>
    <col min="8196" max="8196" width="37.109375" style="162" bestFit="1" customWidth="1"/>
    <col min="8197" max="8197" width="12.88671875" style="162" customWidth="1"/>
    <col min="8198" max="8198" width="12.109375" style="162" customWidth="1"/>
    <col min="8199" max="8199" width="7.5546875" style="162" customWidth="1"/>
    <col min="8200" max="8200" width="14.33203125" style="162" customWidth="1"/>
    <col min="8201" max="8201" width="8.21875" style="162" customWidth="1"/>
    <col min="8202" max="8202" width="14.77734375" style="162" customWidth="1"/>
    <col min="8203" max="8203" width="5.21875" style="162" bestFit="1" customWidth="1"/>
    <col min="8204" max="8204" width="16.109375" style="162" customWidth="1"/>
    <col min="8205" max="8205" width="12.6640625" style="162" bestFit="1" customWidth="1"/>
    <col min="8206" max="8447" width="8.88671875" style="162"/>
    <col min="8448" max="8448" width="36.21875" style="162" bestFit="1" customWidth="1"/>
    <col min="8449" max="8449" width="3.77734375" style="162" bestFit="1" customWidth="1"/>
    <col min="8450" max="8451" width="4.77734375" style="162" customWidth="1"/>
    <col min="8452" max="8452" width="37.109375" style="162" bestFit="1" customWidth="1"/>
    <col min="8453" max="8453" width="12.88671875" style="162" customWidth="1"/>
    <col min="8454" max="8454" width="12.109375" style="162" customWidth="1"/>
    <col min="8455" max="8455" width="7.5546875" style="162" customWidth="1"/>
    <col min="8456" max="8456" width="14.33203125" style="162" customWidth="1"/>
    <col min="8457" max="8457" width="8.21875" style="162" customWidth="1"/>
    <col min="8458" max="8458" width="14.77734375" style="162" customWidth="1"/>
    <col min="8459" max="8459" width="5.21875" style="162" bestFit="1" customWidth="1"/>
    <col min="8460" max="8460" width="16.109375" style="162" customWidth="1"/>
    <col min="8461" max="8461" width="12.6640625" style="162" bestFit="1" customWidth="1"/>
    <col min="8462" max="8703" width="8.88671875" style="162"/>
    <col min="8704" max="8704" width="36.21875" style="162" bestFit="1" customWidth="1"/>
    <col min="8705" max="8705" width="3.77734375" style="162" bestFit="1" customWidth="1"/>
    <col min="8706" max="8707" width="4.77734375" style="162" customWidth="1"/>
    <col min="8708" max="8708" width="37.109375" style="162" bestFit="1" customWidth="1"/>
    <col min="8709" max="8709" width="12.88671875" style="162" customWidth="1"/>
    <col min="8710" max="8710" width="12.109375" style="162" customWidth="1"/>
    <col min="8711" max="8711" width="7.5546875" style="162" customWidth="1"/>
    <col min="8712" max="8712" width="14.33203125" style="162" customWidth="1"/>
    <col min="8713" max="8713" width="8.21875" style="162" customWidth="1"/>
    <col min="8714" max="8714" width="14.77734375" style="162" customWidth="1"/>
    <col min="8715" max="8715" width="5.21875" style="162" bestFit="1" customWidth="1"/>
    <col min="8716" max="8716" width="16.109375" style="162" customWidth="1"/>
    <col min="8717" max="8717" width="12.6640625" style="162" bestFit="1" customWidth="1"/>
    <col min="8718" max="8959" width="8.88671875" style="162"/>
    <col min="8960" max="8960" width="36.21875" style="162" bestFit="1" customWidth="1"/>
    <col min="8961" max="8961" width="3.77734375" style="162" bestFit="1" customWidth="1"/>
    <col min="8962" max="8963" width="4.77734375" style="162" customWidth="1"/>
    <col min="8964" max="8964" width="37.109375" style="162" bestFit="1" customWidth="1"/>
    <col min="8965" max="8965" width="12.88671875" style="162" customWidth="1"/>
    <col min="8966" max="8966" width="12.109375" style="162" customWidth="1"/>
    <col min="8967" max="8967" width="7.5546875" style="162" customWidth="1"/>
    <col min="8968" max="8968" width="14.33203125" style="162" customWidth="1"/>
    <col min="8969" max="8969" width="8.21875" style="162" customWidth="1"/>
    <col min="8970" max="8970" width="14.77734375" style="162" customWidth="1"/>
    <col min="8971" max="8971" width="5.21875" style="162" bestFit="1" customWidth="1"/>
    <col min="8972" max="8972" width="16.109375" style="162" customWidth="1"/>
    <col min="8973" max="8973" width="12.6640625" style="162" bestFit="1" customWidth="1"/>
    <col min="8974" max="9215" width="8.88671875" style="162"/>
    <col min="9216" max="9216" width="36.21875" style="162" bestFit="1" customWidth="1"/>
    <col min="9217" max="9217" width="3.77734375" style="162" bestFit="1" customWidth="1"/>
    <col min="9218" max="9219" width="4.77734375" style="162" customWidth="1"/>
    <col min="9220" max="9220" width="37.109375" style="162" bestFit="1" customWidth="1"/>
    <col min="9221" max="9221" width="12.88671875" style="162" customWidth="1"/>
    <col min="9222" max="9222" width="12.109375" style="162" customWidth="1"/>
    <col min="9223" max="9223" width="7.5546875" style="162" customWidth="1"/>
    <col min="9224" max="9224" width="14.33203125" style="162" customWidth="1"/>
    <col min="9225" max="9225" width="8.21875" style="162" customWidth="1"/>
    <col min="9226" max="9226" width="14.77734375" style="162" customWidth="1"/>
    <col min="9227" max="9227" width="5.21875" style="162" bestFit="1" customWidth="1"/>
    <col min="9228" max="9228" width="16.109375" style="162" customWidth="1"/>
    <col min="9229" max="9229" width="12.6640625" style="162" bestFit="1" customWidth="1"/>
    <col min="9230" max="9471" width="8.88671875" style="162"/>
    <col min="9472" max="9472" width="36.21875" style="162" bestFit="1" customWidth="1"/>
    <col min="9473" max="9473" width="3.77734375" style="162" bestFit="1" customWidth="1"/>
    <col min="9474" max="9475" width="4.77734375" style="162" customWidth="1"/>
    <col min="9476" max="9476" width="37.109375" style="162" bestFit="1" customWidth="1"/>
    <col min="9477" max="9477" width="12.88671875" style="162" customWidth="1"/>
    <col min="9478" max="9478" width="12.109375" style="162" customWidth="1"/>
    <col min="9479" max="9479" width="7.5546875" style="162" customWidth="1"/>
    <col min="9480" max="9480" width="14.33203125" style="162" customWidth="1"/>
    <col min="9481" max="9481" width="8.21875" style="162" customWidth="1"/>
    <col min="9482" max="9482" width="14.77734375" style="162" customWidth="1"/>
    <col min="9483" max="9483" width="5.21875" style="162" bestFit="1" customWidth="1"/>
    <col min="9484" max="9484" width="16.109375" style="162" customWidth="1"/>
    <col min="9485" max="9485" width="12.6640625" style="162" bestFit="1" customWidth="1"/>
    <col min="9486" max="9727" width="8.88671875" style="162"/>
    <col min="9728" max="9728" width="36.21875" style="162" bestFit="1" customWidth="1"/>
    <col min="9729" max="9729" width="3.77734375" style="162" bestFit="1" customWidth="1"/>
    <col min="9730" max="9731" width="4.77734375" style="162" customWidth="1"/>
    <col min="9732" max="9732" width="37.109375" style="162" bestFit="1" customWidth="1"/>
    <col min="9733" max="9733" width="12.88671875" style="162" customWidth="1"/>
    <col min="9734" max="9734" width="12.109375" style="162" customWidth="1"/>
    <col min="9735" max="9735" width="7.5546875" style="162" customWidth="1"/>
    <col min="9736" max="9736" width="14.33203125" style="162" customWidth="1"/>
    <col min="9737" max="9737" width="8.21875" style="162" customWidth="1"/>
    <col min="9738" max="9738" width="14.77734375" style="162" customWidth="1"/>
    <col min="9739" max="9739" width="5.21875" style="162" bestFit="1" customWidth="1"/>
    <col min="9740" max="9740" width="16.109375" style="162" customWidth="1"/>
    <col min="9741" max="9741" width="12.6640625" style="162" bestFit="1" customWidth="1"/>
    <col min="9742" max="9983" width="8.88671875" style="162"/>
    <col min="9984" max="9984" width="36.21875" style="162" bestFit="1" customWidth="1"/>
    <col min="9985" max="9985" width="3.77734375" style="162" bestFit="1" customWidth="1"/>
    <col min="9986" max="9987" width="4.77734375" style="162" customWidth="1"/>
    <col min="9988" max="9988" width="37.109375" style="162" bestFit="1" customWidth="1"/>
    <col min="9989" max="9989" width="12.88671875" style="162" customWidth="1"/>
    <col min="9990" max="9990" width="12.109375" style="162" customWidth="1"/>
    <col min="9991" max="9991" width="7.5546875" style="162" customWidth="1"/>
    <col min="9992" max="9992" width="14.33203125" style="162" customWidth="1"/>
    <col min="9993" max="9993" width="8.21875" style="162" customWidth="1"/>
    <col min="9994" max="9994" width="14.77734375" style="162" customWidth="1"/>
    <col min="9995" max="9995" width="5.21875" style="162" bestFit="1" customWidth="1"/>
    <col min="9996" max="9996" width="16.109375" style="162" customWidth="1"/>
    <col min="9997" max="9997" width="12.6640625" style="162" bestFit="1" customWidth="1"/>
    <col min="9998" max="10239" width="8.88671875" style="162"/>
    <col min="10240" max="10240" width="36.21875" style="162" bestFit="1" customWidth="1"/>
    <col min="10241" max="10241" width="3.77734375" style="162" bestFit="1" customWidth="1"/>
    <col min="10242" max="10243" width="4.77734375" style="162" customWidth="1"/>
    <col min="10244" max="10244" width="37.109375" style="162" bestFit="1" customWidth="1"/>
    <col min="10245" max="10245" width="12.88671875" style="162" customWidth="1"/>
    <col min="10246" max="10246" width="12.109375" style="162" customWidth="1"/>
    <col min="10247" max="10247" width="7.5546875" style="162" customWidth="1"/>
    <col min="10248" max="10248" width="14.33203125" style="162" customWidth="1"/>
    <col min="10249" max="10249" width="8.21875" style="162" customWidth="1"/>
    <col min="10250" max="10250" width="14.77734375" style="162" customWidth="1"/>
    <col min="10251" max="10251" width="5.21875" style="162" bestFit="1" customWidth="1"/>
    <col min="10252" max="10252" width="16.109375" style="162" customWidth="1"/>
    <col min="10253" max="10253" width="12.6640625" style="162" bestFit="1" customWidth="1"/>
    <col min="10254" max="10495" width="8.88671875" style="162"/>
    <col min="10496" max="10496" width="36.21875" style="162" bestFit="1" customWidth="1"/>
    <col min="10497" max="10497" width="3.77734375" style="162" bestFit="1" customWidth="1"/>
    <col min="10498" max="10499" width="4.77734375" style="162" customWidth="1"/>
    <col min="10500" max="10500" width="37.109375" style="162" bestFit="1" customWidth="1"/>
    <col min="10501" max="10501" width="12.88671875" style="162" customWidth="1"/>
    <col min="10502" max="10502" width="12.109375" style="162" customWidth="1"/>
    <col min="10503" max="10503" width="7.5546875" style="162" customWidth="1"/>
    <col min="10504" max="10504" width="14.33203125" style="162" customWidth="1"/>
    <col min="10505" max="10505" width="8.21875" style="162" customWidth="1"/>
    <col min="10506" max="10506" width="14.77734375" style="162" customWidth="1"/>
    <col min="10507" max="10507" width="5.21875" style="162" bestFit="1" customWidth="1"/>
    <col min="10508" max="10508" width="16.109375" style="162" customWidth="1"/>
    <col min="10509" max="10509" width="12.6640625" style="162" bestFit="1" customWidth="1"/>
    <col min="10510" max="10751" width="8.88671875" style="162"/>
    <col min="10752" max="10752" width="36.21875" style="162" bestFit="1" customWidth="1"/>
    <col min="10753" max="10753" width="3.77734375" style="162" bestFit="1" customWidth="1"/>
    <col min="10754" max="10755" width="4.77734375" style="162" customWidth="1"/>
    <col min="10756" max="10756" width="37.109375" style="162" bestFit="1" customWidth="1"/>
    <col min="10757" max="10757" width="12.88671875" style="162" customWidth="1"/>
    <col min="10758" max="10758" width="12.109375" style="162" customWidth="1"/>
    <col min="10759" max="10759" width="7.5546875" style="162" customWidth="1"/>
    <col min="10760" max="10760" width="14.33203125" style="162" customWidth="1"/>
    <col min="10761" max="10761" width="8.21875" style="162" customWidth="1"/>
    <col min="10762" max="10762" width="14.77734375" style="162" customWidth="1"/>
    <col min="10763" max="10763" width="5.21875" style="162" bestFit="1" customWidth="1"/>
    <col min="10764" max="10764" width="16.109375" style="162" customWidth="1"/>
    <col min="10765" max="10765" width="12.6640625" style="162" bestFit="1" customWidth="1"/>
    <col min="10766" max="11007" width="8.88671875" style="162"/>
    <col min="11008" max="11008" width="36.21875" style="162" bestFit="1" customWidth="1"/>
    <col min="11009" max="11009" width="3.77734375" style="162" bestFit="1" customWidth="1"/>
    <col min="11010" max="11011" width="4.77734375" style="162" customWidth="1"/>
    <col min="11012" max="11012" width="37.109375" style="162" bestFit="1" customWidth="1"/>
    <col min="11013" max="11013" width="12.88671875" style="162" customWidth="1"/>
    <col min="11014" max="11014" width="12.109375" style="162" customWidth="1"/>
    <col min="11015" max="11015" width="7.5546875" style="162" customWidth="1"/>
    <col min="11016" max="11016" width="14.33203125" style="162" customWidth="1"/>
    <col min="11017" max="11017" width="8.21875" style="162" customWidth="1"/>
    <col min="11018" max="11018" width="14.77734375" style="162" customWidth="1"/>
    <col min="11019" max="11019" width="5.21875" style="162" bestFit="1" customWidth="1"/>
    <col min="11020" max="11020" width="16.109375" style="162" customWidth="1"/>
    <col min="11021" max="11021" width="12.6640625" style="162" bestFit="1" customWidth="1"/>
    <col min="11022" max="11263" width="8.88671875" style="162"/>
    <col min="11264" max="11264" width="36.21875" style="162" bestFit="1" customWidth="1"/>
    <col min="11265" max="11265" width="3.77734375" style="162" bestFit="1" customWidth="1"/>
    <col min="11266" max="11267" width="4.77734375" style="162" customWidth="1"/>
    <col min="11268" max="11268" width="37.109375" style="162" bestFit="1" customWidth="1"/>
    <col min="11269" max="11269" width="12.88671875" style="162" customWidth="1"/>
    <col min="11270" max="11270" width="12.109375" style="162" customWidth="1"/>
    <col min="11271" max="11271" width="7.5546875" style="162" customWidth="1"/>
    <col min="11272" max="11272" width="14.33203125" style="162" customWidth="1"/>
    <col min="11273" max="11273" width="8.21875" style="162" customWidth="1"/>
    <col min="11274" max="11274" width="14.77734375" style="162" customWidth="1"/>
    <col min="11275" max="11275" width="5.21875" style="162" bestFit="1" customWidth="1"/>
    <col min="11276" max="11276" width="16.109375" style="162" customWidth="1"/>
    <col min="11277" max="11277" width="12.6640625" style="162" bestFit="1" customWidth="1"/>
    <col min="11278" max="11519" width="8.88671875" style="162"/>
    <col min="11520" max="11520" width="36.21875" style="162" bestFit="1" customWidth="1"/>
    <col min="11521" max="11521" width="3.77734375" style="162" bestFit="1" customWidth="1"/>
    <col min="11522" max="11523" width="4.77734375" style="162" customWidth="1"/>
    <col min="11524" max="11524" width="37.109375" style="162" bestFit="1" customWidth="1"/>
    <col min="11525" max="11525" width="12.88671875" style="162" customWidth="1"/>
    <col min="11526" max="11526" width="12.109375" style="162" customWidth="1"/>
    <col min="11527" max="11527" width="7.5546875" style="162" customWidth="1"/>
    <col min="11528" max="11528" width="14.33203125" style="162" customWidth="1"/>
    <col min="11529" max="11529" width="8.21875" style="162" customWidth="1"/>
    <col min="11530" max="11530" width="14.77734375" style="162" customWidth="1"/>
    <col min="11531" max="11531" width="5.21875" style="162" bestFit="1" customWidth="1"/>
    <col min="11532" max="11532" width="16.109375" style="162" customWidth="1"/>
    <col min="11533" max="11533" width="12.6640625" style="162" bestFit="1" customWidth="1"/>
    <col min="11534" max="11775" width="8.88671875" style="162"/>
    <col min="11776" max="11776" width="36.21875" style="162" bestFit="1" customWidth="1"/>
    <col min="11777" max="11777" width="3.77734375" style="162" bestFit="1" customWidth="1"/>
    <col min="11778" max="11779" width="4.77734375" style="162" customWidth="1"/>
    <col min="11780" max="11780" width="37.109375" style="162" bestFit="1" customWidth="1"/>
    <col min="11781" max="11781" width="12.88671875" style="162" customWidth="1"/>
    <col min="11782" max="11782" width="12.109375" style="162" customWidth="1"/>
    <col min="11783" max="11783" width="7.5546875" style="162" customWidth="1"/>
    <col min="11784" max="11784" width="14.33203125" style="162" customWidth="1"/>
    <col min="11785" max="11785" width="8.21875" style="162" customWidth="1"/>
    <col min="11786" max="11786" width="14.77734375" style="162" customWidth="1"/>
    <col min="11787" max="11787" width="5.21875" style="162" bestFit="1" customWidth="1"/>
    <col min="11788" max="11788" width="16.109375" style="162" customWidth="1"/>
    <col min="11789" max="11789" width="12.6640625" style="162" bestFit="1" customWidth="1"/>
    <col min="11790" max="12031" width="8.88671875" style="162"/>
    <col min="12032" max="12032" width="36.21875" style="162" bestFit="1" customWidth="1"/>
    <col min="12033" max="12033" width="3.77734375" style="162" bestFit="1" customWidth="1"/>
    <col min="12034" max="12035" width="4.77734375" style="162" customWidth="1"/>
    <col min="12036" max="12036" width="37.109375" style="162" bestFit="1" customWidth="1"/>
    <col min="12037" max="12037" width="12.88671875" style="162" customWidth="1"/>
    <col min="12038" max="12038" width="12.109375" style="162" customWidth="1"/>
    <col min="12039" max="12039" width="7.5546875" style="162" customWidth="1"/>
    <col min="12040" max="12040" width="14.33203125" style="162" customWidth="1"/>
    <col min="12041" max="12041" width="8.21875" style="162" customWidth="1"/>
    <col min="12042" max="12042" width="14.77734375" style="162" customWidth="1"/>
    <col min="12043" max="12043" width="5.21875" style="162" bestFit="1" customWidth="1"/>
    <col min="12044" max="12044" width="16.109375" style="162" customWidth="1"/>
    <col min="12045" max="12045" width="12.6640625" style="162" bestFit="1" customWidth="1"/>
    <col min="12046" max="12287" width="8.88671875" style="162"/>
    <col min="12288" max="12288" width="36.21875" style="162" bestFit="1" customWidth="1"/>
    <col min="12289" max="12289" width="3.77734375" style="162" bestFit="1" customWidth="1"/>
    <col min="12290" max="12291" width="4.77734375" style="162" customWidth="1"/>
    <col min="12292" max="12292" width="37.109375" style="162" bestFit="1" customWidth="1"/>
    <col min="12293" max="12293" width="12.88671875" style="162" customWidth="1"/>
    <col min="12294" max="12294" width="12.109375" style="162" customWidth="1"/>
    <col min="12295" max="12295" width="7.5546875" style="162" customWidth="1"/>
    <col min="12296" max="12296" width="14.33203125" style="162" customWidth="1"/>
    <col min="12297" max="12297" width="8.21875" style="162" customWidth="1"/>
    <col min="12298" max="12298" width="14.77734375" style="162" customWidth="1"/>
    <col min="12299" max="12299" width="5.21875" style="162" bestFit="1" customWidth="1"/>
    <col min="12300" max="12300" width="16.109375" style="162" customWidth="1"/>
    <col min="12301" max="12301" width="12.6640625" style="162" bestFit="1" customWidth="1"/>
    <col min="12302" max="12543" width="8.88671875" style="162"/>
    <col min="12544" max="12544" width="36.21875" style="162" bestFit="1" customWidth="1"/>
    <col min="12545" max="12545" width="3.77734375" style="162" bestFit="1" customWidth="1"/>
    <col min="12546" max="12547" width="4.77734375" style="162" customWidth="1"/>
    <col min="12548" max="12548" width="37.109375" style="162" bestFit="1" customWidth="1"/>
    <col min="12549" max="12549" width="12.88671875" style="162" customWidth="1"/>
    <col min="12550" max="12550" width="12.109375" style="162" customWidth="1"/>
    <col min="12551" max="12551" width="7.5546875" style="162" customWidth="1"/>
    <col min="12552" max="12552" width="14.33203125" style="162" customWidth="1"/>
    <col min="12553" max="12553" width="8.21875" style="162" customWidth="1"/>
    <col min="12554" max="12554" width="14.77734375" style="162" customWidth="1"/>
    <col min="12555" max="12555" width="5.21875" style="162" bestFit="1" customWidth="1"/>
    <col min="12556" max="12556" width="16.109375" style="162" customWidth="1"/>
    <col min="12557" max="12557" width="12.6640625" style="162" bestFit="1" customWidth="1"/>
    <col min="12558" max="12799" width="8.88671875" style="162"/>
    <col min="12800" max="12800" width="36.21875" style="162" bestFit="1" customWidth="1"/>
    <col min="12801" max="12801" width="3.77734375" style="162" bestFit="1" customWidth="1"/>
    <col min="12802" max="12803" width="4.77734375" style="162" customWidth="1"/>
    <col min="12804" max="12804" width="37.109375" style="162" bestFit="1" customWidth="1"/>
    <col min="12805" max="12805" width="12.88671875" style="162" customWidth="1"/>
    <col min="12806" max="12806" width="12.109375" style="162" customWidth="1"/>
    <col min="12807" max="12807" width="7.5546875" style="162" customWidth="1"/>
    <col min="12808" max="12808" width="14.33203125" style="162" customWidth="1"/>
    <col min="12809" max="12809" width="8.21875" style="162" customWidth="1"/>
    <col min="12810" max="12810" width="14.77734375" style="162" customWidth="1"/>
    <col min="12811" max="12811" width="5.21875" style="162" bestFit="1" customWidth="1"/>
    <col min="12812" max="12812" width="16.109375" style="162" customWidth="1"/>
    <col min="12813" max="12813" width="12.6640625" style="162" bestFit="1" customWidth="1"/>
    <col min="12814" max="13055" width="8.88671875" style="162"/>
    <col min="13056" max="13056" width="36.21875" style="162" bestFit="1" customWidth="1"/>
    <col min="13057" max="13057" width="3.77734375" style="162" bestFit="1" customWidth="1"/>
    <col min="13058" max="13059" width="4.77734375" style="162" customWidth="1"/>
    <col min="13060" max="13060" width="37.109375" style="162" bestFit="1" customWidth="1"/>
    <col min="13061" max="13061" width="12.88671875" style="162" customWidth="1"/>
    <col min="13062" max="13062" width="12.109375" style="162" customWidth="1"/>
    <col min="13063" max="13063" width="7.5546875" style="162" customWidth="1"/>
    <col min="13064" max="13064" width="14.33203125" style="162" customWidth="1"/>
    <col min="13065" max="13065" width="8.21875" style="162" customWidth="1"/>
    <col min="13066" max="13066" width="14.77734375" style="162" customWidth="1"/>
    <col min="13067" max="13067" width="5.21875" style="162" bestFit="1" customWidth="1"/>
    <col min="13068" max="13068" width="16.109375" style="162" customWidth="1"/>
    <col min="13069" max="13069" width="12.6640625" style="162" bestFit="1" customWidth="1"/>
    <col min="13070" max="13311" width="8.88671875" style="162"/>
    <col min="13312" max="13312" width="36.21875" style="162" bestFit="1" customWidth="1"/>
    <col min="13313" max="13313" width="3.77734375" style="162" bestFit="1" customWidth="1"/>
    <col min="13314" max="13315" width="4.77734375" style="162" customWidth="1"/>
    <col min="13316" max="13316" width="37.109375" style="162" bestFit="1" customWidth="1"/>
    <col min="13317" max="13317" width="12.88671875" style="162" customWidth="1"/>
    <col min="13318" max="13318" width="12.109375" style="162" customWidth="1"/>
    <col min="13319" max="13319" width="7.5546875" style="162" customWidth="1"/>
    <col min="13320" max="13320" width="14.33203125" style="162" customWidth="1"/>
    <col min="13321" max="13321" width="8.21875" style="162" customWidth="1"/>
    <col min="13322" max="13322" width="14.77734375" style="162" customWidth="1"/>
    <col min="13323" max="13323" width="5.21875" style="162" bestFit="1" customWidth="1"/>
    <col min="13324" max="13324" width="16.109375" style="162" customWidth="1"/>
    <col min="13325" max="13325" width="12.6640625" style="162" bestFit="1" customWidth="1"/>
    <col min="13326" max="13567" width="8.88671875" style="162"/>
    <col min="13568" max="13568" width="36.21875" style="162" bestFit="1" customWidth="1"/>
    <col min="13569" max="13569" width="3.77734375" style="162" bestFit="1" customWidth="1"/>
    <col min="13570" max="13571" width="4.77734375" style="162" customWidth="1"/>
    <col min="13572" max="13572" width="37.109375" style="162" bestFit="1" customWidth="1"/>
    <col min="13573" max="13573" width="12.88671875" style="162" customWidth="1"/>
    <col min="13574" max="13574" width="12.109375" style="162" customWidth="1"/>
    <col min="13575" max="13575" width="7.5546875" style="162" customWidth="1"/>
    <col min="13576" max="13576" width="14.33203125" style="162" customWidth="1"/>
    <col min="13577" max="13577" width="8.21875" style="162" customWidth="1"/>
    <col min="13578" max="13578" width="14.77734375" style="162" customWidth="1"/>
    <col min="13579" max="13579" width="5.21875" style="162" bestFit="1" customWidth="1"/>
    <col min="13580" max="13580" width="16.109375" style="162" customWidth="1"/>
    <col min="13581" max="13581" width="12.6640625" style="162" bestFit="1" customWidth="1"/>
    <col min="13582" max="13823" width="8.88671875" style="162"/>
    <col min="13824" max="13824" width="36.21875" style="162" bestFit="1" customWidth="1"/>
    <col min="13825" max="13825" width="3.77734375" style="162" bestFit="1" customWidth="1"/>
    <col min="13826" max="13827" width="4.77734375" style="162" customWidth="1"/>
    <col min="13828" max="13828" width="37.109375" style="162" bestFit="1" customWidth="1"/>
    <col min="13829" max="13829" width="12.88671875" style="162" customWidth="1"/>
    <col min="13830" max="13830" width="12.109375" style="162" customWidth="1"/>
    <col min="13831" max="13831" width="7.5546875" style="162" customWidth="1"/>
    <col min="13832" max="13832" width="14.33203125" style="162" customWidth="1"/>
    <col min="13833" max="13833" width="8.21875" style="162" customWidth="1"/>
    <col min="13834" max="13834" width="14.77734375" style="162" customWidth="1"/>
    <col min="13835" max="13835" width="5.21875" style="162" bestFit="1" customWidth="1"/>
    <col min="13836" max="13836" width="16.109375" style="162" customWidth="1"/>
    <col min="13837" max="13837" width="12.6640625" style="162" bestFit="1" customWidth="1"/>
    <col min="13838" max="14079" width="8.88671875" style="162"/>
    <col min="14080" max="14080" width="36.21875" style="162" bestFit="1" customWidth="1"/>
    <col min="14081" max="14081" width="3.77734375" style="162" bestFit="1" customWidth="1"/>
    <col min="14082" max="14083" width="4.77734375" style="162" customWidth="1"/>
    <col min="14084" max="14084" width="37.109375" style="162" bestFit="1" customWidth="1"/>
    <col min="14085" max="14085" width="12.88671875" style="162" customWidth="1"/>
    <col min="14086" max="14086" width="12.109375" style="162" customWidth="1"/>
    <col min="14087" max="14087" width="7.5546875" style="162" customWidth="1"/>
    <col min="14088" max="14088" width="14.33203125" style="162" customWidth="1"/>
    <col min="14089" max="14089" width="8.21875" style="162" customWidth="1"/>
    <col min="14090" max="14090" width="14.77734375" style="162" customWidth="1"/>
    <col min="14091" max="14091" width="5.21875" style="162" bestFit="1" customWidth="1"/>
    <col min="14092" max="14092" width="16.109375" style="162" customWidth="1"/>
    <col min="14093" max="14093" width="12.6640625" style="162" bestFit="1" customWidth="1"/>
    <col min="14094" max="14335" width="8.88671875" style="162"/>
    <col min="14336" max="14336" width="36.21875" style="162" bestFit="1" customWidth="1"/>
    <col min="14337" max="14337" width="3.77734375" style="162" bestFit="1" customWidth="1"/>
    <col min="14338" max="14339" width="4.77734375" style="162" customWidth="1"/>
    <col min="14340" max="14340" width="37.109375" style="162" bestFit="1" customWidth="1"/>
    <col min="14341" max="14341" width="12.88671875" style="162" customWidth="1"/>
    <col min="14342" max="14342" width="12.109375" style="162" customWidth="1"/>
    <col min="14343" max="14343" width="7.5546875" style="162" customWidth="1"/>
    <col min="14344" max="14344" width="14.33203125" style="162" customWidth="1"/>
    <col min="14345" max="14345" width="8.21875" style="162" customWidth="1"/>
    <col min="14346" max="14346" width="14.77734375" style="162" customWidth="1"/>
    <col min="14347" max="14347" width="5.21875" style="162" bestFit="1" customWidth="1"/>
    <col min="14348" max="14348" width="16.109375" style="162" customWidth="1"/>
    <col min="14349" max="14349" width="12.6640625" style="162" bestFit="1" customWidth="1"/>
    <col min="14350" max="14591" width="8.88671875" style="162"/>
    <col min="14592" max="14592" width="36.21875" style="162" bestFit="1" customWidth="1"/>
    <col min="14593" max="14593" width="3.77734375" style="162" bestFit="1" customWidth="1"/>
    <col min="14594" max="14595" width="4.77734375" style="162" customWidth="1"/>
    <col min="14596" max="14596" width="37.109375" style="162" bestFit="1" customWidth="1"/>
    <col min="14597" max="14597" width="12.88671875" style="162" customWidth="1"/>
    <col min="14598" max="14598" width="12.109375" style="162" customWidth="1"/>
    <col min="14599" max="14599" width="7.5546875" style="162" customWidth="1"/>
    <col min="14600" max="14600" width="14.33203125" style="162" customWidth="1"/>
    <col min="14601" max="14601" width="8.21875" style="162" customWidth="1"/>
    <col min="14602" max="14602" width="14.77734375" style="162" customWidth="1"/>
    <col min="14603" max="14603" width="5.21875" style="162" bestFit="1" customWidth="1"/>
    <col min="14604" max="14604" width="16.109375" style="162" customWidth="1"/>
    <col min="14605" max="14605" width="12.6640625" style="162" bestFit="1" customWidth="1"/>
    <col min="14606" max="14847" width="8.88671875" style="162"/>
    <col min="14848" max="14848" width="36.21875" style="162" bestFit="1" customWidth="1"/>
    <col min="14849" max="14849" width="3.77734375" style="162" bestFit="1" customWidth="1"/>
    <col min="14850" max="14851" width="4.77734375" style="162" customWidth="1"/>
    <col min="14852" max="14852" width="37.109375" style="162" bestFit="1" customWidth="1"/>
    <col min="14853" max="14853" width="12.88671875" style="162" customWidth="1"/>
    <col min="14854" max="14854" width="12.109375" style="162" customWidth="1"/>
    <col min="14855" max="14855" width="7.5546875" style="162" customWidth="1"/>
    <col min="14856" max="14856" width="14.33203125" style="162" customWidth="1"/>
    <col min="14857" max="14857" width="8.21875" style="162" customWidth="1"/>
    <col min="14858" max="14858" width="14.77734375" style="162" customWidth="1"/>
    <col min="14859" max="14859" width="5.21875" style="162" bestFit="1" customWidth="1"/>
    <col min="14860" max="14860" width="16.109375" style="162" customWidth="1"/>
    <col min="14861" max="14861" width="12.6640625" style="162" bestFit="1" customWidth="1"/>
    <col min="14862" max="15103" width="8.88671875" style="162"/>
    <col min="15104" max="15104" width="36.21875" style="162" bestFit="1" customWidth="1"/>
    <col min="15105" max="15105" width="3.77734375" style="162" bestFit="1" customWidth="1"/>
    <col min="15106" max="15107" width="4.77734375" style="162" customWidth="1"/>
    <col min="15108" max="15108" width="37.109375" style="162" bestFit="1" customWidth="1"/>
    <col min="15109" max="15109" width="12.88671875" style="162" customWidth="1"/>
    <col min="15110" max="15110" width="12.109375" style="162" customWidth="1"/>
    <col min="15111" max="15111" width="7.5546875" style="162" customWidth="1"/>
    <col min="15112" max="15112" width="14.33203125" style="162" customWidth="1"/>
    <col min="15113" max="15113" width="8.21875" style="162" customWidth="1"/>
    <col min="15114" max="15114" width="14.77734375" style="162" customWidth="1"/>
    <col min="15115" max="15115" width="5.21875" style="162" bestFit="1" customWidth="1"/>
    <col min="15116" max="15116" width="16.109375" style="162" customWidth="1"/>
    <col min="15117" max="15117" width="12.6640625" style="162" bestFit="1" customWidth="1"/>
    <col min="15118" max="15359" width="8.88671875" style="162"/>
    <col min="15360" max="15360" width="36.21875" style="162" bestFit="1" customWidth="1"/>
    <col min="15361" max="15361" width="3.77734375" style="162" bestFit="1" customWidth="1"/>
    <col min="15362" max="15363" width="4.77734375" style="162" customWidth="1"/>
    <col min="15364" max="15364" width="37.109375" style="162" bestFit="1" customWidth="1"/>
    <col min="15365" max="15365" width="12.88671875" style="162" customWidth="1"/>
    <col min="15366" max="15366" width="12.109375" style="162" customWidth="1"/>
    <col min="15367" max="15367" width="7.5546875" style="162" customWidth="1"/>
    <col min="15368" max="15368" width="14.33203125" style="162" customWidth="1"/>
    <col min="15369" max="15369" width="8.21875" style="162" customWidth="1"/>
    <col min="15370" max="15370" width="14.77734375" style="162" customWidth="1"/>
    <col min="15371" max="15371" width="5.21875" style="162" bestFit="1" customWidth="1"/>
    <col min="15372" max="15372" width="16.109375" style="162" customWidth="1"/>
    <col min="15373" max="15373" width="12.6640625" style="162" bestFit="1" customWidth="1"/>
    <col min="15374" max="15615" width="8.88671875" style="162"/>
    <col min="15616" max="15616" width="36.21875" style="162" bestFit="1" customWidth="1"/>
    <col min="15617" max="15617" width="3.77734375" style="162" bestFit="1" customWidth="1"/>
    <col min="15618" max="15619" width="4.77734375" style="162" customWidth="1"/>
    <col min="15620" max="15620" width="37.109375" style="162" bestFit="1" customWidth="1"/>
    <col min="15621" max="15621" width="12.88671875" style="162" customWidth="1"/>
    <col min="15622" max="15622" width="12.109375" style="162" customWidth="1"/>
    <col min="15623" max="15623" width="7.5546875" style="162" customWidth="1"/>
    <col min="15624" max="15624" width="14.33203125" style="162" customWidth="1"/>
    <col min="15625" max="15625" width="8.21875" style="162" customWidth="1"/>
    <col min="15626" max="15626" width="14.77734375" style="162" customWidth="1"/>
    <col min="15627" max="15627" width="5.21875" style="162" bestFit="1" customWidth="1"/>
    <col min="15628" max="15628" width="16.109375" style="162" customWidth="1"/>
    <col min="15629" max="15629" width="12.6640625" style="162" bestFit="1" customWidth="1"/>
    <col min="15630" max="15871" width="8.88671875" style="162"/>
    <col min="15872" max="15872" width="36.21875" style="162" bestFit="1" customWidth="1"/>
    <col min="15873" max="15873" width="3.77734375" style="162" bestFit="1" customWidth="1"/>
    <col min="15874" max="15875" width="4.77734375" style="162" customWidth="1"/>
    <col min="15876" max="15876" width="37.109375" style="162" bestFit="1" customWidth="1"/>
    <col min="15877" max="15877" width="12.88671875" style="162" customWidth="1"/>
    <col min="15878" max="15878" width="12.109375" style="162" customWidth="1"/>
    <col min="15879" max="15879" width="7.5546875" style="162" customWidth="1"/>
    <col min="15880" max="15880" width="14.33203125" style="162" customWidth="1"/>
    <col min="15881" max="15881" width="8.21875" style="162" customWidth="1"/>
    <col min="15882" max="15882" width="14.77734375" style="162" customWidth="1"/>
    <col min="15883" max="15883" width="5.21875" style="162" bestFit="1" customWidth="1"/>
    <col min="15884" max="15884" width="16.109375" style="162" customWidth="1"/>
    <col min="15885" max="15885" width="12.6640625" style="162" bestFit="1" customWidth="1"/>
    <col min="15886" max="16127" width="8.88671875" style="162"/>
    <col min="16128" max="16128" width="36.21875" style="162" bestFit="1" customWidth="1"/>
    <col min="16129" max="16129" width="3.77734375" style="162" bestFit="1" customWidth="1"/>
    <col min="16130" max="16131" width="4.77734375" style="162" customWidth="1"/>
    <col min="16132" max="16132" width="37.109375" style="162" bestFit="1" customWidth="1"/>
    <col min="16133" max="16133" width="12.88671875" style="162" customWidth="1"/>
    <col min="16134" max="16134" width="12.109375" style="162" customWidth="1"/>
    <col min="16135" max="16135" width="7.5546875" style="162" customWidth="1"/>
    <col min="16136" max="16136" width="14.33203125" style="162" customWidth="1"/>
    <col min="16137" max="16137" width="8.21875" style="162" customWidth="1"/>
    <col min="16138" max="16138" width="14.77734375" style="162" customWidth="1"/>
    <col min="16139" max="16139" width="5.21875" style="162" bestFit="1" customWidth="1"/>
    <col min="16140" max="16140" width="16.109375" style="162" customWidth="1"/>
    <col min="16141" max="16141" width="12.6640625" style="162" bestFit="1" customWidth="1"/>
    <col min="16142" max="16384" width="8.88671875" style="162"/>
  </cols>
  <sheetData>
    <row r="1" spans="1:11" s="161" customFormat="1" ht="18" x14ac:dyDescent="0.3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16.2" x14ac:dyDescent="0.35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E3" s="163"/>
    </row>
    <row r="4" spans="1:11" s="166" customFormat="1" ht="13.2" x14ac:dyDescent="0.25">
      <c r="A4" s="1" t="s">
        <v>2</v>
      </c>
      <c r="B4" s="2"/>
      <c r="C4" s="3"/>
      <c r="D4" s="4"/>
      <c r="E4" s="165"/>
      <c r="F4" s="5"/>
      <c r="G4" s="5"/>
      <c r="H4" s="5"/>
      <c r="I4" s="5"/>
      <c r="J4" s="5"/>
      <c r="K4" s="5"/>
    </row>
    <row r="5" spans="1:11" s="166" customFormat="1" ht="13.2" x14ac:dyDescent="0.25">
      <c r="A5" s="1" t="s">
        <v>3</v>
      </c>
      <c r="B5" s="2"/>
      <c r="C5" s="3"/>
      <c r="D5" s="4"/>
      <c r="E5" s="5"/>
      <c r="F5" s="5"/>
      <c r="G5" s="5"/>
      <c r="H5" s="5"/>
      <c r="I5" s="5"/>
      <c r="J5" s="5"/>
      <c r="K5" s="5"/>
    </row>
    <row r="6" spans="1:11" x14ac:dyDescent="0.25">
      <c r="A6" s="167"/>
      <c r="B6" s="14"/>
      <c r="C6" s="167"/>
      <c r="D6" s="167"/>
      <c r="E6" s="168"/>
      <c r="F6" s="168"/>
      <c r="G6" s="168"/>
      <c r="H6" s="168"/>
      <c r="I6" s="168"/>
      <c r="J6" s="168"/>
      <c r="K6" s="168"/>
    </row>
    <row r="7" spans="1:11" s="171" customFormat="1" ht="58.5" customHeight="1" x14ac:dyDescent="0.3">
      <c r="A7" s="6" t="s">
        <v>4</v>
      </c>
      <c r="B7" s="6" t="s">
        <v>5</v>
      </c>
      <c r="C7" s="6" t="s">
        <v>6</v>
      </c>
      <c r="D7" s="169" t="s">
        <v>7</v>
      </c>
      <c r="E7" s="170" t="s">
        <v>8</v>
      </c>
      <c r="F7" s="170" t="s">
        <v>9</v>
      </c>
      <c r="G7" s="170" t="s">
        <v>201</v>
      </c>
      <c r="H7" s="170" t="s">
        <v>10</v>
      </c>
      <c r="I7" s="170" t="s">
        <v>202</v>
      </c>
      <c r="J7" s="170" t="s">
        <v>11</v>
      </c>
      <c r="K7" s="170" t="s">
        <v>203</v>
      </c>
    </row>
    <row r="8" spans="1:11" s="166" customFormat="1" ht="17.25" customHeight="1" x14ac:dyDescent="0.25">
      <c r="A8" s="15" t="s">
        <v>12</v>
      </c>
      <c r="B8" s="15"/>
      <c r="C8" s="172"/>
      <c r="D8" s="173" t="s">
        <v>14</v>
      </c>
      <c r="E8" s="174">
        <f>+E9+E11+E15+E19+E21</f>
        <v>2404779.9273441285</v>
      </c>
      <c r="F8" s="174">
        <f>+F9+F11+F15+F19+F21</f>
        <v>3307793.2213398716</v>
      </c>
      <c r="G8" s="150">
        <f>+F8/E8</f>
        <v>1.3755076644344097</v>
      </c>
      <c r="H8" s="174">
        <f>+H9+H11+H15+H19+H21</f>
        <v>3319369.1172935488</v>
      </c>
      <c r="I8" s="150">
        <f>+H8/F8</f>
        <v>1.0034995827063786</v>
      </c>
      <c r="J8" s="174">
        <f>+J9+J11+J15+J19+J21</f>
        <v>3300118.009583503</v>
      </c>
      <c r="K8" s="150">
        <f>+J8/H8</f>
        <v>0.99420037150742002</v>
      </c>
    </row>
    <row r="9" spans="1:11" s="166" customFormat="1" x14ac:dyDescent="0.25">
      <c r="A9" s="15"/>
      <c r="B9" s="15">
        <v>61</v>
      </c>
      <c r="C9" s="175" t="s">
        <v>196</v>
      </c>
      <c r="D9" s="173" t="s">
        <v>15</v>
      </c>
      <c r="E9" s="174">
        <v>924146.12763862696</v>
      </c>
      <c r="F9" s="174">
        <v>821362.33037084667</v>
      </c>
      <c r="G9" s="150">
        <f>+F9/E9</f>
        <v>0.88877971330095507</v>
      </c>
      <c r="H9" s="174">
        <v>823480.70289224293</v>
      </c>
      <c r="I9" s="150">
        <f>+H9/F9</f>
        <v>1.0025790962685612</v>
      </c>
      <c r="J9" s="174">
        <v>824780.94499831193</v>
      </c>
      <c r="K9" s="150">
        <f>+J9/H9</f>
        <v>1.0015789588043804</v>
      </c>
    </row>
    <row r="10" spans="1:11" s="166" customFormat="1" x14ac:dyDescent="0.25">
      <c r="A10" s="176"/>
      <c r="B10" s="176"/>
      <c r="C10" s="177"/>
      <c r="D10" s="178"/>
      <c r="E10" s="179"/>
      <c r="F10" s="179"/>
      <c r="G10" s="150"/>
      <c r="H10" s="179"/>
      <c r="I10" s="150"/>
      <c r="J10" s="179"/>
      <c r="K10" s="150"/>
    </row>
    <row r="11" spans="1:11" s="166" customFormat="1" ht="27.6" x14ac:dyDescent="0.25">
      <c r="A11" s="180"/>
      <c r="B11" s="181">
        <v>63</v>
      </c>
      <c r="C11" s="182"/>
      <c r="D11" s="160" t="s">
        <v>16</v>
      </c>
      <c r="E11" s="183">
        <f>+E12+E13</f>
        <v>1062483.5139011298</v>
      </c>
      <c r="F11" s="183">
        <f>+F12+F13</f>
        <v>1857214.8113127099</v>
      </c>
      <c r="G11" s="150">
        <f>+F11/E11</f>
        <v>1.7479940036844039</v>
      </c>
      <c r="H11" s="183">
        <f>+H12+H13</f>
        <v>1848621.5780631499</v>
      </c>
      <c r="I11" s="150">
        <f>+H11/F11</f>
        <v>0.99537305367305029</v>
      </c>
      <c r="J11" s="183">
        <f>+J12+J13</f>
        <v>1809591.5811352301</v>
      </c>
      <c r="K11" s="150">
        <f>+J11/H11</f>
        <v>0.97888697319609752</v>
      </c>
    </row>
    <row r="12" spans="1:11" s="166" customFormat="1" x14ac:dyDescent="0.25">
      <c r="A12" s="172"/>
      <c r="B12" s="172"/>
      <c r="C12" s="175" t="s">
        <v>197</v>
      </c>
      <c r="D12" s="11" t="s">
        <v>16</v>
      </c>
      <c r="E12" s="151">
        <v>902483.51390112983</v>
      </c>
      <c r="F12" s="151">
        <v>1537214.8113127099</v>
      </c>
      <c r="G12" s="7">
        <f>+F12/E12</f>
        <v>1.7033162242131739</v>
      </c>
      <c r="H12" s="151">
        <v>1528621.5780631499</v>
      </c>
      <c r="I12" s="7">
        <f>+H12/F12</f>
        <v>0.99440986829796296</v>
      </c>
      <c r="J12" s="151">
        <v>1649591.5811352301</v>
      </c>
      <c r="K12" s="7">
        <f>+J12/H12</f>
        <v>1.0791366580245165</v>
      </c>
    </row>
    <row r="13" spans="1:11" s="166" customFormat="1" x14ac:dyDescent="0.25">
      <c r="A13" s="172"/>
      <c r="B13" s="172"/>
      <c r="C13" s="175" t="s">
        <v>198</v>
      </c>
      <c r="D13" s="11" t="s">
        <v>16</v>
      </c>
      <c r="E13" s="151">
        <v>160000</v>
      </c>
      <c r="F13" s="151">
        <v>320000</v>
      </c>
      <c r="G13" s="7">
        <f>+F13/E13</f>
        <v>2</v>
      </c>
      <c r="H13" s="184">
        <v>320000</v>
      </c>
      <c r="I13" s="7">
        <f>+H13/F13</f>
        <v>1</v>
      </c>
      <c r="J13" s="184">
        <v>160000</v>
      </c>
      <c r="K13" s="7">
        <f>+J13/H13</f>
        <v>0.5</v>
      </c>
    </row>
    <row r="14" spans="1:11" s="166" customFormat="1" x14ac:dyDescent="0.25">
      <c r="A14" s="172"/>
      <c r="B14" s="172"/>
      <c r="C14" s="175"/>
      <c r="D14" s="8"/>
      <c r="E14" s="179"/>
      <c r="F14" s="179"/>
      <c r="G14" s="150"/>
      <c r="H14" s="179"/>
      <c r="I14" s="150"/>
      <c r="J14" s="179"/>
      <c r="K14" s="150"/>
    </row>
    <row r="15" spans="1:11" s="166" customFormat="1" x14ac:dyDescent="0.25">
      <c r="A15" s="15"/>
      <c r="B15" s="15">
        <v>64</v>
      </c>
      <c r="C15" s="175"/>
      <c r="D15" s="173" t="s">
        <v>17</v>
      </c>
      <c r="E15" s="174">
        <f>SUM(E16:E17)</f>
        <v>196320.28152066862</v>
      </c>
      <c r="F15" s="174">
        <f>SUM(F16:F17)</f>
        <v>226716.07875792554</v>
      </c>
      <c r="G15" s="150">
        <f>+F15/E15</f>
        <v>1.1548275960171586</v>
      </c>
      <c r="H15" s="174">
        <f>SUM(H16:H17)</f>
        <v>224641.83331258348</v>
      </c>
      <c r="I15" s="150">
        <f>+H15/F15</f>
        <v>0.99085091160403838</v>
      </c>
      <c r="J15" s="174">
        <f>SUM(J16:J17)</f>
        <v>222995.48078892232</v>
      </c>
      <c r="K15" s="150">
        <f>+J15/H15</f>
        <v>0.9926712113261188</v>
      </c>
    </row>
    <row r="16" spans="1:11" s="166" customFormat="1" x14ac:dyDescent="0.25">
      <c r="A16" s="172"/>
      <c r="B16" s="172"/>
      <c r="C16" s="175" t="s">
        <v>196</v>
      </c>
      <c r="D16" s="8" t="s">
        <v>17</v>
      </c>
      <c r="E16" s="151">
        <v>15.267919542300803</v>
      </c>
      <c r="F16" s="151">
        <v>17.631814821218633</v>
      </c>
      <c r="G16" s="7">
        <f>+F16/E16</f>
        <v>1.1548275960171586</v>
      </c>
      <c r="H16" s="151">
        <v>17.470499788838076</v>
      </c>
      <c r="I16" s="7">
        <f>+H16/F16</f>
        <v>0.99085091160403826</v>
      </c>
      <c r="J16" s="151">
        <v>17.342462187858597</v>
      </c>
      <c r="K16" s="7">
        <f>+J16/H16</f>
        <v>0.99267121132611891</v>
      </c>
    </row>
    <row r="17" spans="1:13" s="166" customFormat="1" x14ac:dyDescent="0.25">
      <c r="A17" s="172"/>
      <c r="B17" s="172"/>
      <c r="C17" s="175" t="s">
        <v>199</v>
      </c>
      <c r="D17" s="8" t="s">
        <v>17</v>
      </c>
      <c r="E17" s="151">
        <v>196305.01360112632</v>
      </c>
      <c r="F17" s="151">
        <v>226698.44694310433</v>
      </c>
      <c r="G17" s="7">
        <f>+F17/E17</f>
        <v>1.1548275960171586</v>
      </c>
      <c r="H17" s="151">
        <v>224624.36281279463</v>
      </c>
      <c r="I17" s="7">
        <f>+H17/F17</f>
        <v>0.99085091160403826</v>
      </c>
      <c r="J17" s="151">
        <v>222978.13832673445</v>
      </c>
      <c r="K17" s="7">
        <f>+J17/H17</f>
        <v>0.99267121132611891</v>
      </c>
    </row>
    <row r="18" spans="1:13" s="166" customFormat="1" x14ac:dyDescent="0.25">
      <c r="A18" s="172"/>
      <c r="B18" s="172"/>
      <c r="C18" s="175"/>
      <c r="D18" s="8"/>
      <c r="E18" s="151"/>
      <c r="F18" s="151"/>
      <c r="G18" s="150"/>
      <c r="H18" s="151"/>
      <c r="I18" s="150"/>
      <c r="J18" s="151"/>
      <c r="K18" s="150"/>
    </row>
    <row r="19" spans="1:13" s="166" customFormat="1" x14ac:dyDescent="0.25">
      <c r="A19" s="15"/>
      <c r="B19" s="15">
        <v>65</v>
      </c>
      <c r="C19" s="175" t="s">
        <v>200</v>
      </c>
      <c r="D19" s="173" t="s">
        <v>18</v>
      </c>
      <c r="E19" s="174">
        <v>32708.218994786996</v>
      </c>
      <c r="F19" s="174">
        <v>37772.353911752631</v>
      </c>
      <c r="G19" s="150">
        <f>+F19/E19</f>
        <v>1.1548275960171586</v>
      </c>
      <c r="H19" s="174">
        <v>37426.771306890456</v>
      </c>
      <c r="I19" s="150">
        <f>+H19/F19</f>
        <v>0.99085091160403826</v>
      </c>
      <c r="J19" s="174">
        <v>37152.478409236581</v>
      </c>
      <c r="K19" s="150">
        <f>+J19/H19</f>
        <v>0.99267121132611891</v>
      </c>
    </row>
    <row r="20" spans="1:13" s="166" customFormat="1" x14ac:dyDescent="0.25">
      <c r="A20" s="172"/>
      <c r="B20" s="172"/>
      <c r="C20" s="175"/>
      <c r="D20" s="8"/>
      <c r="E20" s="151"/>
      <c r="F20" s="151"/>
      <c r="G20" s="150"/>
      <c r="H20" s="151"/>
      <c r="I20" s="150"/>
      <c r="J20" s="151"/>
      <c r="K20" s="150"/>
    </row>
    <row r="21" spans="1:13" s="166" customFormat="1" ht="27.6" x14ac:dyDescent="0.25">
      <c r="A21" s="15"/>
      <c r="B21" s="15">
        <v>66</v>
      </c>
      <c r="C21" s="175"/>
      <c r="D21" s="173" t="s">
        <v>19</v>
      </c>
      <c r="E21" s="174">
        <f>+E22</f>
        <v>189121.78528891629</v>
      </c>
      <c r="F21" s="174">
        <f>+F22</f>
        <v>364727.64698663697</v>
      </c>
      <c r="G21" s="150">
        <f>+F21/E21</f>
        <v>1.9285332275678992</v>
      </c>
      <c r="H21" s="174">
        <f>+H22</f>
        <v>385198.23171868193</v>
      </c>
      <c r="I21" s="150">
        <f>+H21/F21</f>
        <v>1.0561256732281525</v>
      </c>
      <c r="J21" s="174">
        <f>+J22</f>
        <v>405597.52425180213</v>
      </c>
      <c r="K21" s="150">
        <f>+J21/H21</f>
        <v>1.0529579080415359</v>
      </c>
    </row>
    <row r="22" spans="1:13" s="171" customFormat="1" x14ac:dyDescent="0.25">
      <c r="A22" s="185"/>
      <c r="B22" s="185"/>
      <c r="C22" s="175" t="s">
        <v>200</v>
      </c>
      <c r="D22" s="11" t="s">
        <v>20</v>
      </c>
      <c r="E22" s="151">
        <v>189121.78528891629</v>
      </c>
      <c r="F22" s="151">
        <v>364727.64698663697</v>
      </c>
      <c r="G22" s="7">
        <f>+F22/E22</f>
        <v>1.9285332275678992</v>
      </c>
      <c r="H22" s="151">
        <v>385198.23171868193</v>
      </c>
      <c r="I22" s="7">
        <f>+H22/F22</f>
        <v>1.0561256732281525</v>
      </c>
      <c r="J22" s="151">
        <v>405597.52425180213</v>
      </c>
      <c r="K22" s="7">
        <f>+J22/H22</f>
        <v>1.0529579080415359</v>
      </c>
      <c r="L22" s="166"/>
    </row>
    <row r="23" spans="1:13" s="166" customFormat="1" x14ac:dyDescent="0.25">
      <c r="A23" s="172"/>
      <c r="B23" s="172"/>
      <c r="C23" s="175"/>
      <c r="D23" s="8"/>
      <c r="E23" s="151"/>
      <c r="F23" s="151"/>
      <c r="G23" s="150"/>
      <c r="H23" s="151"/>
      <c r="I23" s="150"/>
      <c r="J23" s="151"/>
      <c r="K23" s="150"/>
    </row>
    <row r="24" spans="1:13" s="166" customFormat="1" x14ac:dyDescent="0.25">
      <c r="A24" s="186" t="s">
        <v>21</v>
      </c>
      <c r="B24" s="180"/>
      <c r="C24" s="182"/>
      <c r="D24" s="160"/>
      <c r="E24" s="187"/>
      <c r="F24" s="187"/>
      <c r="G24" s="150"/>
      <c r="H24" s="187"/>
      <c r="I24" s="150"/>
      <c r="J24" s="187"/>
      <c r="K24" s="150"/>
    </row>
    <row r="25" spans="1:13" s="166" customFormat="1" x14ac:dyDescent="0.25">
      <c r="A25" s="15"/>
      <c r="B25" s="15"/>
      <c r="C25" s="175"/>
      <c r="D25" s="173"/>
      <c r="E25" s="151"/>
      <c r="F25" s="151"/>
      <c r="G25" s="150"/>
      <c r="H25" s="151"/>
      <c r="I25" s="150"/>
      <c r="J25" s="151"/>
      <c r="K25" s="150"/>
    </row>
    <row r="26" spans="1:13" s="166" customFormat="1" x14ac:dyDescent="0.25">
      <c r="A26" s="188" t="s">
        <v>22</v>
      </c>
      <c r="B26" s="189"/>
      <c r="C26" s="182"/>
      <c r="D26" s="190" t="s">
        <v>23</v>
      </c>
      <c r="E26" s="191">
        <f>+E27</f>
        <v>12388.672655873654</v>
      </c>
      <c r="F26" s="191">
        <f>+F27</f>
        <v>14306.781061026079</v>
      </c>
      <c r="G26" s="150">
        <f t="shared" ref="G26:G27" si="0">+F26/E26</f>
        <v>1.1548275960171586</v>
      </c>
      <c r="H26" s="191">
        <f>+H27</f>
        <v>14175.887056437079</v>
      </c>
      <c r="I26" s="150">
        <f>+H26/F26</f>
        <v>0.99085091160403826</v>
      </c>
      <c r="J26" s="191">
        <f>+J27</f>
        <v>14071.994975935646</v>
      </c>
      <c r="K26" s="150">
        <f>+J26/H26</f>
        <v>0.99267121132611891</v>
      </c>
    </row>
    <row r="27" spans="1:13" s="171" customFormat="1" x14ac:dyDescent="0.25">
      <c r="A27" s="185"/>
      <c r="B27" s="185">
        <v>72</v>
      </c>
      <c r="C27" s="175" t="s">
        <v>199</v>
      </c>
      <c r="D27" s="160" t="s">
        <v>24</v>
      </c>
      <c r="E27" s="183">
        <v>12388.672655873654</v>
      </c>
      <c r="F27" s="183">
        <v>14306.781061026079</v>
      </c>
      <c r="G27" s="150">
        <f t="shared" si="0"/>
        <v>1.1548275960171586</v>
      </c>
      <c r="H27" s="183">
        <v>14175.887056437079</v>
      </c>
      <c r="I27" s="150">
        <f>+H27/F27</f>
        <v>0.99085091160403826</v>
      </c>
      <c r="J27" s="183">
        <v>14071.994975935646</v>
      </c>
      <c r="K27" s="150">
        <f>+J27/H27</f>
        <v>0.99267121132611891</v>
      </c>
      <c r="L27" s="166"/>
    </row>
    <row r="28" spans="1:13" s="166" customFormat="1" x14ac:dyDescent="0.25">
      <c r="A28" s="15"/>
      <c r="B28" s="15"/>
      <c r="C28" s="172"/>
      <c r="D28" s="173"/>
      <c r="E28" s="152"/>
      <c r="F28" s="152"/>
      <c r="G28" s="150"/>
      <c r="H28" s="152"/>
      <c r="I28" s="150"/>
      <c r="J28" s="152"/>
      <c r="K28" s="150"/>
    </row>
    <row r="29" spans="1:13" ht="14.4" x14ac:dyDescent="0.3">
      <c r="A29" s="192"/>
      <c r="B29" s="192"/>
      <c r="C29" s="192"/>
      <c r="D29" s="193" t="s">
        <v>195</v>
      </c>
      <c r="E29" s="194">
        <f>E8+E26</f>
        <v>2417168.600000002</v>
      </c>
      <c r="F29" s="194">
        <f>F8+F26</f>
        <v>3322100.0024008979</v>
      </c>
      <c r="G29" s="194">
        <f>+F29/E29</f>
        <v>1.3743766166749374</v>
      </c>
      <c r="H29" s="194">
        <f>H8+H26</f>
        <v>3333545.0043499856</v>
      </c>
      <c r="I29" s="194">
        <f>+H29/F29</f>
        <v>1.0034451106049838</v>
      </c>
      <c r="J29" s="194">
        <f>J8+J26</f>
        <v>3314190.0045594387</v>
      </c>
      <c r="K29" s="194">
        <f>+J29/H29</f>
        <v>0.99419386875974669</v>
      </c>
      <c r="L29" s="195"/>
      <c r="M29" s="195"/>
    </row>
    <row r="30" spans="1:13" x14ac:dyDescent="0.25">
      <c r="H30" s="196"/>
      <c r="I30" s="196"/>
      <c r="J30" s="196"/>
      <c r="K30" s="196"/>
      <c r="L30" s="195"/>
      <c r="M30" s="195"/>
    </row>
    <row r="31" spans="1:13" x14ac:dyDescent="0.25">
      <c r="A31" s="1" t="s">
        <v>191</v>
      </c>
      <c r="E31" s="196"/>
      <c r="F31" s="196"/>
      <c r="H31" s="196"/>
      <c r="J31" s="196"/>
    </row>
    <row r="32" spans="1:13" ht="20.399999999999999" x14ac:dyDescent="0.25">
      <c r="A32" s="6" t="s">
        <v>4</v>
      </c>
      <c r="B32" s="6" t="s">
        <v>5</v>
      </c>
      <c r="C32" s="6" t="s">
        <v>6</v>
      </c>
      <c r="D32" s="169" t="s">
        <v>192</v>
      </c>
      <c r="E32" s="170" t="s">
        <v>8</v>
      </c>
      <c r="F32" s="170" t="s">
        <v>9</v>
      </c>
      <c r="G32" s="170" t="s">
        <v>201</v>
      </c>
      <c r="H32" s="170" t="s">
        <v>10</v>
      </c>
      <c r="I32" s="170" t="s">
        <v>202</v>
      </c>
      <c r="J32" s="170" t="s">
        <v>11</v>
      </c>
      <c r="K32" s="170" t="s">
        <v>203</v>
      </c>
    </row>
    <row r="33" spans="1:11" x14ac:dyDescent="0.25">
      <c r="E33" s="196"/>
      <c r="F33" s="196"/>
      <c r="H33" s="196"/>
      <c r="J33" s="196"/>
    </row>
    <row r="35" spans="1:11" x14ac:dyDescent="0.25">
      <c r="A35" s="186">
        <v>3</v>
      </c>
      <c r="B35" s="185" t="s">
        <v>151</v>
      </c>
      <c r="C35" s="175" t="s">
        <v>196</v>
      </c>
      <c r="D35" s="162" t="s">
        <v>160</v>
      </c>
      <c r="E35" s="151">
        <v>81300</v>
      </c>
      <c r="F35" s="151">
        <v>110000</v>
      </c>
      <c r="G35" s="7">
        <f t="shared" ref="G35:G57" si="1">+F35/E35</f>
        <v>1.3530135301353015</v>
      </c>
      <c r="H35" s="151">
        <v>115500</v>
      </c>
      <c r="I35" s="7">
        <f t="shared" ref="I35:I57" si="2">+H35/F35</f>
        <v>1.05</v>
      </c>
      <c r="J35" s="151">
        <v>121000</v>
      </c>
      <c r="K35" s="7">
        <f t="shared" ref="K35:K57" si="3">+J35/H35</f>
        <v>1.0476190476190477</v>
      </c>
    </row>
    <row r="36" spans="1:11" x14ac:dyDescent="0.25">
      <c r="A36" s="186">
        <v>3</v>
      </c>
      <c r="B36" s="185" t="s">
        <v>150</v>
      </c>
      <c r="C36" s="175" t="s">
        <v>196</v>
      </c>
      <c r="D36" s="162" t="s">
        <v>161</v>
      </c>
      <c r="E36" s="151">
        <v>421661.4</v>
      </c>
      <c r="F36" s="151">
        <v>911200</v>
      </c>
      <c r="G36" s="7">
        <f t="shared" si="1"/>
        <v>2.1609756074423694</v>
      </c>
      <c r="H36" s="151">
        <v>897900</v>
      </c>
      <c r="I36" s="7">
        <f t="shared" si="2"/>
        <v>0.9854038630377524</v>
      </c>
      <c r="J36" s="151">
        <v>937800</v>
      </c>
      <c r="K36" s="7">
        <f t="shared" si="3"/>
        <v>1.0444370197126629</v>
      </c>
    </row>
    <row r="37" spans="1:11" x14ac:dyDescent="0.25">
      <c r="A37" s="186">
        <v>3</v>
      </c>
      <c r="B37" s="185" t="s">
        <v>152</v>
      </c>
      <c r="C37" s="175" t="s">
        <v>196</v>
      </c>
      <c r="D37" s="162" t="s">
        <v>162</v>
      </c>
      <c r="E37" s="151">
        <v>1000</v>
      </c>
      <c r="F37" s="151">
        <v>1000</v>
      </c>
      <c r="G37" s="7">
        <f t="shared" si="1"/>
        <v>1</v>
      </c>
      <c r="H37" s="151">
        <v>1050</v>
      </c>
      <c r="I37" s="7">
        <f t="shared" si="2"/>
        <v>1.05</v>
      </c>
      <c r="J37" s="151">
        <v>1100</v>
      </c>
      <c r="K37" s="7">
        <f t="shared" si="3"/>
        <v>1.0476190476190477</v>
      </c>
    </row>
    <row r="38" spans="1:11" x14ac:dyDescent="0.25">
      <c r="A38" s="186">
        <v>3</v>
      </c>
      <c r="B38" s="185" t="s">
        <v>156</v>
      </c>
      <c r="C38" s="175" t="s">
        <v>196</v>
      </c>
      <c r="D38" s="162" t="s">
        <v>163</v>
      </c>
      <c r="E38" s="151">
        <v>27000</v>
      </c>
      <c r="F38" s="151">
        <v>33000</v>
      </c>
      <c r="G38" s="7">
        <f t="shared" si="1"/>
        <v>1.2222222222222223</v>
      </c>
      <c r="H38" s="151">
        <v>34650</v>
      </c>
      <c r="I38" s="7">
        <f t="shared" si="2"/>
        <v>1.05</v>
      </c>
      <c r="J38" s="151">
        <v>36300</v>
      </c>
      <c r="K38" s="7">
        <f t="shared" si="3"/>
        <v>1.0476190476190477</v>
      </c>
    </row>
    <row r="39" spans="1:11" x14ac:dyDescent="0.25">
      <c r="A39" s="186">
        <v>3</v>
      </c>
      <c r="B39" s="185" t="s">
        <v>158</v>
      </c>
      <c r="C39" s="175" t="s">
        <v>196</v>
      </c>
      <c r="D39" s="162" t="s">
        <v>164</v>
      </c>
      <c r="E39" s="151">
        <v>31800</v>
      </c>
      <c r="F39" s="151">
        <v>40000</v>
      </c>
      <c r="G39" s="7">
        <f t="shared" si="1"/>
        <v>1.2578616352201257</v>
      </c>
      <c r="H39" s="151">
        <v>42000</v>
      </c>
      <c r="I39" s="7">
        <f t="shared" si="2"/>
        <v>1.05</v>
      </c>
      <c r="J39" s="151">
        <v>44000</v>
      </c>
      <c r="K39" s="7">
        <f t="shared" si="3"/>
        <v>1.0476190476190477</v>
      </c>
    </row>
    <row r="40" spans="1:11" x14ac:dyDescent="0.25">
      <c r="A40" s="186">
        <v>3</v>
      </c>
      <c r="B40" s="185" t="s">
        <v>159</v>
      </c>
      <c r="C40" s="175" t="s">
        <v>196</v>
      </c>
      <c r="D40" s="162" t="s">
        <v>165</v>
      </c>
      <c r="E40" s="151">
        <v>110300</v>
      </c>
      <c r="F40" s="151">
        <v>146500</v>
      </c>
      <c r="G40" s="7">
        <f t="shared" si="1"/>
        <v>1.328195829555757</v>
      </c>
      <c r="H40" s="151">
        <v>153825</v>
      </c>
      <c r="I40" s="7">
        <f t="shared" si="2"/>
        <v>1.05</v>
      </c>
      <c r="J40" s="151">
        <v>161150</v>
      </c>
      <c r="K40" s="7">
        <f t="shared" si="3"/>
        <v>1.0476190476190477</v>
      </c>
    </row>
    <row r="41" spans="1:11" x14ac:dyDescent="0.25">
      <c r="A41" s="186">
        <v>3</v>
      </c>
      <c r="B41" s="185" t="s">
        <v>155</v>
      </c>
      <c r="C41" s="175" t="s">
        <v>196</v>
      </c>
      <c r="D41" s="162" t="s">
        <v>166</v>
      </c>
      <c r="E41" s="151">
        <v>3300</v>
      </c>
      <c r="F41" s="151">
        <v>5000</v>
      </c>
      <c r="G41" s="7">
        <f t="shared" si="1"/>
        <v>1.5151515151515151</v>
      </c>
      <c r="H41" s="151">
        <v>5250</v>
      </c>
      <c r="I41" s="7">
        <f t="shared" si="2"/>
        <v>1.05</v>
      </c>
      <c r="J41" s="151">
        <v>5500</v>
      </c>
      <c r="K41" s="7">
        <f t="shared" si="3"/>
        <v>1.0476190476190477</v>
      </c>
    </row>
    <row r="42" spans="1:11" x14ac:dyDescent="0.25">
      <c r="A42" s="186">
        <v>4</v>
      </c>
      <c r="B42" s="185" t="s">
        <v>157</v>
      </c>
      <c r="C42" s="175" t="s">
        <v>196</v>
      </c>
      <c r="D42" s="162" t="s">
        <v>167</v>
      </c>
      <c r="E42" s="151">
        <v>21500</v>
      </c>
      <c r="F42" s="151">
        <v>19400</v>
      </c>
      <c r="G42" s="7">
        <f t="shared" si="1"/>
        <v>0.9023255813953488</v>
      </c>
      <c r="H42" s="151">
        <v>20370</v>
      </c>
      <c r="I42" s="7">
        <f t="shared" si="2"/>
        <v>1.05</v>
      </c>
      <c r="J42" s="151">
        <v>21340</v>
      </c>
      <c r="K42" s="7">
        <f t="shared" si="3"/>
        <v>1.0476190476190477</v>
      </c>
    </row>
    <row r="43" spans="1:11" x14ac:dyDescent="0.25">
      <c r="A43" s="186">
        <v>4</v>
      </c>
      <c r="B43" s="185" t="s">
        <v>153</v>
      </c>
      <c r="C43" s="175" t="s">
        <v>196</v>
      </c>
      <c r="D43" s="162" t="s">
        <v>168</v>
      </c>
      <c r="E43" s="151">
        <v>226300</v>
      </c>
      <c r="F43" s="151">
        <v>433000</v>
      </c>
      <c r="G43" s="7">
        <f t="shared" si="1"/>
        <v>1.9133893062306673</v>
      </c>
      <c r="H43" s="151">
        <v>444150</v>
      </c>
      <c r="I43" s="7">
        <f t="shared" si="2"/>
        <v>1.0257505773672055</v>
      </c>
      <c r="J43" s="151">
        <v>465300</v>
      </c>
      <c r="K43" s="7">
        <f t="shared" si="3"/>
        <v>1.0476190476190477</v>
      </c>
    </row>
    <row r="44" spans="1:11" x14ac:dyDescent="0.25">
      <c r="E44" s="152">
        <f>+SUM(E35:E43)</f>
        <v>924161.4</v>
      </c>
      <c r="F44" s="152">
        <f>+SUM(F35:F43)</f>
        <v>1699100</v>
      </c>
      <c r="G44" s="150">
        <f t="shared" si="1"/>
        <v>1.838531667736826</v>
      </c>
      <c r="H44" s="152">
        <f>+SUM(H35:H43)</f>
        <v>1714695</v>
      </c>
      <c r="I44" s="150">
        <f t="shared" si="2"/>
        <v>1.0091783885586487</v>
      </c>
      <c r="J44" s="152">
        <f>+SUM(J35:J43)</f>
        <v>1793490</v>
      </c>
      <c r="K44" s="150">
        <f t="shared" si="3"/>
        <v>1.0459527787740677</v>
      </c>
    </row>
    <row r="46" spans="1:11" x14ac:dyDescent="0.25">
      <c r="A46" s="186">
        <v>3</v>
      </c>
      <c r="B46" s="185">
        <v>35</v>
      </c>
      <c r="C46" s="175" t="s">
        <v>200</v>
      </c>
      <c r="D46" s="162" t="s">
        <v>163</v>
      </c>
      <c r="E46" s="197">
        <v>8500</v>
      </c>
      <c r="F46" s="197">
        <v>15000</v>
      </c>
      <c r="G46" s="7">
        <f t="shared" si="1"/>
        <v>1.7647058823529411</v>
      </c>
      <c r="H46" s="197">
        <v>15750</v>
      </c>
      <c r="I46" s="7">
        <f t="shared" si="2"/>
        <v>1.05</v>
      </c>
      <c r="J46" s="197">
        <v>16500</v>
      </c>
      <c r="K46" s="7">
        <f t="shared" si="3"/>
        <v>1.0476190476190477</v>
      </c>
    </row>
    <row r="47" spans="1:11" x14ac:dyDescent="0.25">
      <c r="A47" s="186">
        <v>3</v>
      </c>
      <c r="B47" s="185">
        <v>38</v>
      </c>
      <c r="C47" s="175" t="s">
        <v>200</v>
      </c>
      <c r="D47" s="162" t="s">
        <v>166</v>
      </c>
      <c r="E47" s="197">
        <v>213330</v>
      </c>
      <c r="F47" s="197">
        <v>387500</v>
      </c>
      <c r="G47" s="7">
        <f t="shared" si="1"/>
        <v>1.8164346317911217</v>
      </c>
      <c r="H47" s="197">
        <v>406875</v>
      </c>
      <c r="I47" s="7">
        <f t="shared" si="2"/>
        <v>1.05</v>
      </c>
      <c r="J47" s="197">
        <v>426250</v>
      </c>
      <c r="K47" s="7">
        <f t="shared" si="3"/>
        <v>1.0476190476190477</v>
      </c>
    </row>
    <row r="48" spans="1:11" x14ac:dyDescent="0.25">
      <c r="E48" s="152">
        <f>+SUM(E46:E47)</f>
        <v>221830</v>
      </c>
      <c r="F48" s="152">
        <f>+SUM(F46:F47)</f>
        <v>402500</v>
      </c>
      <c r="G48" s="150">
        <f t="shared" si="1"/>
        <v>1.8144525086778163</v>
      </c>
      <c r="H48" s="152">
        <f>+SUM(H46:H47)</f>
        <v>422625</v>
      </c>
      <c r="I48" s="150">
        <f t="shared" si="2"/>
        <v>1.05</v>
      </c>
      <c r="J48" s="152">
        <f>+SUM(J46:J47)</f>
        <v>442750</v>
      </c>
      <c r="K48" s="150">
        <f t="shared" si="3"/>
        <v>1.0476190476190477</v>
      </c>
    </row>
    <row r="49" spans="1:11" x14ac:dyDescent="0.25">
      <c r="E49" s="198"/>
      <c r="F49" s="198"/>
      <c r="H49" s="198"/>
      <c r="J49" s="198"/>
    </row>
    <row r="50" spans="1:11" x14ac:dyDescent="0.25">
      <c r="A50" s="186">
        <v>3</v>
      </c>
      <c r="B50" s="185" t="s">
        <v>151</v>
      </c>
      <c r="C50" s="175" t="s">
        <v>197</v>
      </c>
      <c r="D50" s="162" t="s">
        <v>160</v>
      </c>
      <c r="E50" s="197">
        <v>25000</v>
      </c>
      <c r="F50" s="197">
        <v>35000</v>
      </c>
      <c r="G50" s="7">
        <f t="shared" si="1"/>
        <v>1.4</v>
      </c>
      <c r="H50" s="197">
        <v>36750</v>
      </c>
      <c r="I50" s="7">
        <f t="shared" si="2"/>
        <v>1.05</v>
      </c>
      <c r="J50" s="197">
        <v>38500</v>
      </c>
      <c r="K50" s="7">
        <f t="shared" si="3"/>
        <v>1.0476190476190477</v>
      </c>
    </row>
    <row r="51" spans="1:11" x14ac:dyDescent="0.25">
      <c r="A51" s="186">
        <v>3</v>
      </c>
      <c r="B51" s="185" t="s">
        <v>150</v>
      </c>
      <c r="C51" s="175" t="s">
        <v>197</v>
      </c>
      <c r="D51" s="162" t="s">
        <v>161</v>
      </c>
      <c r="E51" s="197">
        <v>166000</v>
      </c>
      <c r="F51" s="197">
        <v>146500</v>
      </c>
      <c r="G51" s="7">
        <f t="shared" si="1"/>
        <v>0.88253012048192769</v>
      </c>
      <c r="H51" s="197">
        <v>153825</v>
      </c>
      <c r="I51" s="7">
        <f t="shared" si="2"/>
        <v>1.05</v>
      </c>
      <c r="J51" s="197">
        <v>161150</v>
      </c>
      <c r="K51" s="7">
        <f t="shared" si="3"/>
        <v>1.0476190476190477</v>
      </c>
    </row>
    <row r="52" spans="1:11" x14ac:dyDescent="0.25">
      <c r="A52" s="186">
        <v>4</v>
      </c>
      <c r="B52" s="185" t="s">
        <v>153</v>
      </c>
      <c r="C52" s="175" t="s">
        <v>197</v>
      </c>
      <c r="D52" s="162" t="s">
        <v>168</v>
      </c>
      <c r="E52" s="197">
        <v>701500</v>
      </c>
      <c r="F52" s="197">
        <v>583000</v>
      </c>
      <c r="G52" s="7">
        <f t="shared" si="1"/>
        <v>0.83107626514611543</v>
      </c>
      <c r="H52" s="197">
        <v>580650</v>
      </c>
      <c r="I52" s="7">
        <f t="shared" si="2"/>
        <v>0.99596912521440828</v>
      </c>
      <c r="J52" s="197">
        <v>608300</v>
      </c>
      <c r="K52" s="7">
        <f t="shared" si="3"/>
        <v>1.0476190476190477</v>
      </c>
    </row>
    <row r="53" spans="1:11" x14ac:dyDescent="0.25">
      <c r="E53" s="152">
        <f>+SUM(E50:E52)</f>
        <v>892500</v>
      </c>
      <c r="F53" s="152">
        <f>+SUM(F50:F52)</f>
        <v>764500</v>
      </c>
      <c r="G53" s="150">
        <f t="shared" si="1"/>
        <v>0.85658263305322124</v>
      </c>
      <c r="H53" s="152">
        <f>+SUM(H50:H52)</f>
        <v>771225</v>
      </c>
      <c r="I53" s="150">
        <f t="shared" si="2"/>
        <v>1.0087965990843688</v>
      </c>
      <c r="J53" s="152">
        <f>+SUM(J50:J52)</f>
        <v>807950</v>
      </c>
      <c r="K53" s="150">
        <f t="shared" si="3"/>
        <v>1.0476190476190477</v>
      </c>
    </row>
    <row r="54" spans="1:11" x14ac:dyDescent="0.25">
      <c r="E54" s="198"/>
      <c r="F54" s="198"/>
      <c r="H54" s="198"/>
      <c r="J54" s="198"/>
    </row>
    <row r="55" spans="1:11" x14ac:dyDescent="0.25">
      <c r="A55" s="186">
        <v>3</v>
      </c>
      <c r="B55" s="185" t="s">
        <v>151</v>
      </c>
      <c r="C55" s="175" t="s">
        <v>197</v>
      </c>
      <c r="D55" s="162" t="s">
        <v>160</v>
      </c>
      <c r="E55" s="197">
        <v>152850.49293378121</v>
      </c>
      <c r="F55" s="197">
        <v>305700.98586756241</v>
      </c>
      <c r="G55" s="7">
        <f t="shared" si="1"/>
        <v>2</v>
      </c>
      <c r="H55" s="197">
        <v>305700.98586756241</v>
      </c>
      <c r="I55" s="7">
        <f t="shared" si="2"/>
        <v>1</v>
      </c>
      <c r="J55" s="197">
        <v>152850.49293378121</v>
      </c>
      <c r="K55" s="7">
        <f t="shared" si="3"/>
        <v>0.5</v>
      </c>
    </row>
    <row r="56" spans="1:11" x14ac:dyDescent="0.25">
      <c r="A56" s="186">
        <v>3</v>
      </c>
      <c r="B56" s="185" t="s">
        <v>150</v>
      </c>
      <c r="C56" s="175" t="s">
        <v>197</v>
      </c>
      <c r="D56" s="162" t="s">
        <v>161</v>
      </c>
      <c r="E56" s="197">
        <v>7149.5070662187836</v>
      </c>
      <c r="F56" s="197">
        <v>14299.014132437567</v>
      </c>
      <c r="G56" s="7">
        <f t="shared" si="1"/>
        <v>2</v>
      </c>
      <c r="H56" s="197">
        <v>14299.014132437567</v>
      </c>
      <c r="I56" s="7">
        <f t="shared" si="2"/>
        <v>1</v>
      </c>
      <c r="J56" s="197">
        <v>7149.5070662187836</v>
      </c>
      <c r="K56" s="7">
        <f t="shared" si="3"/>
        <v>0.5</v>
      </c>
    </row>
    <row r="57" spans="1:11" x14ac:dyDescent="0.25">
      <c r="E57" s="152">
        <f>+SUM(E55:E56)</f>
        <v>160000</v>
      </c>
      <c r="F57" s="152">
        <f>+SUM(F55:F56)</f>
        <v>320000</v>
      </c>
      <c r="G57" s="150">
        <f t="shared" si="1"/>
        <v>2</v>
      </c>
      <c r="H57" s="152">
        <f>+SUM(H55:H56)</f>
        <v>320000</v>
      </c>
      <c r="I57" s="150">
        <f t="shared" si="2"/>
        <v>1</v>
      </c>
      <c r="J57" s="152">
        <f>+SUM(J55:J56)</f>
        <v>160000</v>
      </c>
      <c r="K57" s="150">
        <f t="shared" si="3"/>
        <v>0.5</v>
      </c>
    </row>
    <row r="58" spans="1:11" x14ac:dyDescent="0.25">
      <c r="E58" s="198"/>
      <c r="F58" s="198"/>
      <c r="H58" s="198"/>
      <c r="J58" s="198"/>
    </row>
    <row r="59" spans="1:11" x14ac:dyDescent="0.25">
      <c r="A59" s="186">
        <v>3</v>
      </c>
      <c r="B59" s="185">
        <v>34</v>
      </c>
      <c r="C59" s="199">
        <v>54.71</v>
      </c>
      <c r="D59" s="162" t="s">
        <v>162</v>
      </c>
      <c r="E59" s="197">
        <v>7654.46</v>
      </c>
      <c r="F59" s="197">
        <v>11000</v>
      </c>
      <c r="G59" s="7">
        <f t="shared" ref="G59:G61" si="4">+F59/E59</f>
        <v>1.4370706751358031</v>
      </c>
      <c r="H59" s="197">
        <v>0</v>
      </c>
      <c r="I59" s="7">
        <f t="shared" ref="I59:I61" si="5">+H59/F59</f>
        <v>0</v>
      </c>
      <c r="J59" s="197">
        <v>0</v>
      </c>
      <c r="K59" s="7"/>
    </row>
    <row r="60" spans="1:11" x14ac:dyDescent="0.25">
      <c r="A60" s="186">
        <v>4</v>
      </c>
      <c r="B60" s="185">
        <v>42</v>
      </c>
      <c r="C60" s="199">
        <v>54.71</v>
      </c>
      <c r="D60" s="162" t="s">
        <v>168</v>
      </c>
      <c r="E60" s="197">
        <v>211023.07</v>
      </c>
      <c r="F60" s="197">
        <v>100000</v>
      </c>
      <c r="G60" s="7">
        <f t="shared" si="4"/>
        <v>0.47388183671102879</v>
      </c>
      <c r="H60" s="197">
        <v>105000</v>
      </c>
      <c r="I60" s="7">
        <f t="shared" si="5"/>
        <v>1.05</v>
      </c>
      <c r="J60" s="197">
        <v>110000.00000000001</v>
      </c>
      <c r="K60" s="7">
        <f t="shared" ref="K60:K61" si="6">+J60/H60</f>
        <v>1.0476190476190477</v>
      </c>
    </row>
    <row r="61" spans="1:11" x14ac:dyDescent="0.25">
      <c r="E61" s="152">
        <f>+SUM(E59:E60)</f>
        <v>218677.53</v>
      </c>
      <c r="F61" s="152">
        <f>+SUM(F59:F60)</f>
        <v>111000</v>
      </c>
      <c r="G61" s="150">
        <f t="shared" si="4"/>
        <v>0.50759673387567528</v>
      </c>
      <c r="H61" s="152">
        <f>+SUM(H59:H60)</f>
        <v>105000</v>
      </c>
      <c r="I61" s="150">
        <f t="shared" si="5"/>
        <v>0.94594594594594594</v>
      </c>
      <c r="J61" s="152">
        <f>+SUM(J59:J60)</f>
        <v>110000.00000000001</v>
      </c>
      <c r="K61" s="150">
        <f t="shared" si="6"/>
        <v>1.0476190476190477</v>
      </c>
    </row>
    <row r="64" spans="1:11" ht="14.4" x14ac:dyDescent="0.3">
      <c r="A64" s="192"/>
      <c r="B64" s="192"/>
      <c r="C64" s="192"/>
      <c r="D64" s="193" t="s">
        <v>194</v>
      </c>
      <c r="E64" s="194">
        <f>+E44+E48+E53+E57+E61</f>
        <v>2417168.9299999997</v>
      </c>
      <c r="F64" s="194">
        <f>+F44+F48+F53+F57+F61</f>
        <v>3297100</v>
      </c>
      <c r="G64" s="194">
        <f>+F64/E64</f>
        <v>1.3640337500118374</v>
      </c>
      <c r="H64" s="194">
        <f>+H44+H48+H53+H57+H61</f>
        <v>3333545</v>
      </c>
      <c r="I64" s="194">
        <f>+H64/F64</f>
        <v>1.0110536532103971</v>
      </c>
      <c r="J64" s="194">
        <f>+J44+J48+J53+J57+J61</f>
        <v>3314190</v>
      </c>
      <c r="K64" s="194">
        <f>+J64/H64</f>
        <v>0.99419386868933823</v>
      </c>
    </row>
  </sheetData>
  <mergeCells count="2">
    <mergeCell ref="A1:K1"/>
    <mergeCell ref="A2:K2"/>
  </mergeCells>
  <pageMargins left="0.11811023622047245" right="0.11811023622047245" top="0.55118110236220474" bottom="0.35433070866141736" header="0.31496062992125984" footer="0.31496062992125984"/>
  <pageSetup scale="60" orientation="landscape" r:id="rId1"/>
  <headerFooter>
    <oddFooter>&amp;C&amp;P/&amp;N&amp;ROpćina Šestanovac -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3E54-0AF5-4F53-9809-D68643DE9EFE}">
  <dimension ref="A1:K14"/>
  <sheetViews>
    <sheetView workbookViewId="0">
      <selection activeCell="F12" sqref="F12"/>
    </sheetView>
  </sheetViews>
  <sheetFormatPr defaultRowHeight="14.4" x14ac:dyDescent="0.3"/>
  <cols>
    <col min="1" max="1" width="20.77734375" bestFit="1" customWidth="1"/>
    <col min="2" max="2" width="5.109375" customWidth="1"/>
    <col min="3" max="3" width="22.21875" bestFit="1" customWidth="1"/>
    <col min="4" max="4" width="55.6640625" bestFit="1" customWidth="1"/>
    <col min="5" max="5" width="18.21875" bestFit="1" customWidth="1"/>
    <col min="6" max="6" width="11.21875" bestFit="1" customWidth="1"/>
    <col min="7" max="7" width="7.44140625" bestFit="1" customWidth="1"/>
    <col min="8" max="8" width="17.88671875" bestFit="1" customWidth="1"/>
    <col min="9" max="9" width="8.5546875" bestFit="1" customWidth="1"/>
    <col min="10" max="10" width="17.88671875" bestFit="1" customWidth="1"/>
    <col min="11" max="11" width="7.44140625" bestFit="1" customWidth="1"/>
  </cols>
  <sheetData>
    <row r="1" spans="1:11" x14ac:dyDescent="0.3">
      <c r="A1" s="1" t="s">
        <v>193</v>
      </c>
      <c r="B1" s="14"/>
      <c r="C1" s="14"/>
      <c r="D1" s="14"/>
      <c r="E1" s="153"/>
      <c r="F1" s="153"/>
      <c r="G1" s="154"/>
      <c r="H1" s="153"/>
      <c r="I1" s="154"/>
      <c r="J1" s="153"/>
      <c r="K1" s="154"/>
    </row>
    <row r="2" spans="1:11" x14ac:dyDescent="0.3">
      <c r="A2" s="1"/>
      <c r="B2" s="14"/>
      <c r="C2" s="14"/>
      <c r="D2" s="14"/>
      <c r="E2" s="153"/>
      <c r="F2" s="153"/>
      <c r="G2" s="154"/>
      <c r="H2" s="153"/>
      <c r="I2" s="154"/>
      <c r="J2" s="153"/>
      <c r="K2" s="154"/>
    </row>
    <row r="3" spans="1:11" ht="20.399999999999999" x14ac:dyDescent="0.3">
      <c r="A3" s="6" t="s">
        <v>4</v>
      </c>
      <c r="B3" s="6" t="s">
        <v>5</v>
      </c>
      <c r="C3" s="6" t="s">
        <v>6</v>
      </c>
      <c r="D3" s="6" t="s">
        <v>192</v>
      </c>
      <c r="E3" s="200" t="s">
        <v>8</v>
      </c>
      <c r="F3" s="200" t="s">
        <v>9</v>
      </c>
      <c r="G3" s="200" t="s">
        <v>201</v>
      </c>
      <c r="H3" s="200" t="s">
        <v>10</v>
      </c>
      <c r="I3" s="200" t="s">
        <v>202</v>
      </c>
      <c r="J3" s="200" t="s">
        <v>11</v>
      </c>
      <c r="K3" s="200" t="s">
        <v>203</v>
      </c>
    </row>
    <row r="4" spans="1:11" x14ac:dyDescent="0.3">
      <c r="A4" s="15"/>
      <c r="B4" s="15"/>
      <c r="C4" s="15"/>
      <c r="D4" s="15"/>
      <c r="E4" s="153"/>
      <c r="F4" s="153"/>
      <c r="G4" s="154"/>
      <c r="H4" s="153"/>
      <c r="I4" s="154"/>
      <c r="J4" s="153"/>
      <c r="K4" s="154"/>
    </row>
    <row r="5" spans="1:11" x14ac:dyDescent="0.3">
      <c r="A5" s="12">
        <v>8</v>
      </c>
      <c r="B5" s="12"/>
      <c r="C5" s="13"/>
      <c r="D5" s="155" t="s">
        <v>25</v>
      </c>
      <c r="E5" s="156"/>
      <c r="F5" s="156"/>
      <c r="G5" s="154"/>
      <c r="H5" s="156"/>
      <c r="I5" s="154"/>
      <c r="J5" s="156"/>
      <c r="K5" s="154"/>
    </row>
    <row r="6" spans="1:11" x14ac:dyDescent="0.3">
      <c r="A6" s="9"/>
      <c r="B6" s="9">
        <v>84</v>
      </c>
      <c r="C6" s="10"/>
      <c r="D6" s="155" t="s">
        <v>26</v>
      </c>
      <c r="E6" s="156"/>
      <c r="F6" s="156"/>
      <c r="G6" s="154"/>
      <c r="H6" s="156"/>
      <c r="I6" s="154"/>
      <c r="J6" s="156"/>
      <c r="K6" s="154"/>
    </row>
    <row r="7" spans="1:11" x14ac:dyDescent="0.3">
      <c r="A7" s="10"/>
      <c r="B7" s="10"/>
      <c r="C7" s="10" t="s">
        <v>204</v>
      </c>
      <c r="D7" s="157" t="s">
        <v>27</v>
      </c>
      <c r="E7" s="17">
        <v>145435</v>
      </c>
      <c r="F7" s="17">
        <v>130000</v>
      </c>
      <c r="G7" s="158">
        <v>0</v>
      </c>
      <c r="H7" s="17">
        <v>0</v>
      </c>
      <c r="I7" s="158">
        <v>0</v>
      </c>
      <c r="J7" s="159">
        <f>+H7*'Ekonomska klasifikacija i izvor'!$K$31</f>
        <v>0</v>
      </c>
      <c r="K7" s="158">
        <v>0</v>
      </c>
    </row>
    <row r="10" spans="1:11" x14ac:dyDescent="0.3">
      <c r="D10" s="155" t="s">
        <v>205</v>
      </c>
    </row>
    <row r="11" spans="1:11" x14ac:dyDescent="0.3">
      <c r="D11" s="155" t="s">
        <v>206</v>
      </c>
    </row>
    <row r="12" spans="1:11" x14ac:dyDescent="0.3">
      <c r="B12" s="9">
        <v>81</v>
      </c>
      <c r="C12" s="10" t="s">
        <v>197</v>
      </c>
      <c r="D12" s="87" t="s">
        <v>169</v>
      </c>
      <c r="E12" s="17">
        <v>145434.66999999998</v>
      </c>
      <c r="F12" s="17">
        <v>155000</v>
      </c>
      <c r="G12" s="158">
        <v>-0.50430923806976424</v>
      </c>
      <c r="H12" s="17">
        <v>0</v>
      </c>
      <c r="I12" s="158">
        <v>-1</v>
      </c>
      <c r="J12" s="159">
        <v>0</v>
      </c>
      <c r="K12" s="158">
        <v>0</v>
      </c>
    </row>
    <row r="14" spans="1:11" x14ac:dyDescent="0.3">
      <c r="E14" s="41"/>
      <c r="F14" s="41"/>
      <c r="G14" s="201"/>
      <c r="H14" s="41"/>
      <c r="J14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3072F-08BF-411B-A402-2FFCBF8582CA}">
  <dimension ref="A1:H15"/>
  <sheetViews>
    <sheetView workbookViewId="0">
      <selection sqref="A1:H2"/>
    </sheetView>
  </sheetViews>
  <sheetFormatPr defaultRowHeight="14.4" x14ac:dyDescent="0.3"/>
  <cols>
    <col min="1" max="1" width="48.44140625" bestFit="1" customWidth="1"/>
    <col min="2" max="3" width="11.5546875" bestFit="1" customWidth="1"/>
    <col min="4" max="4" width="9.88671875" bestFit="1" customWidth="1"/>
    <col min="5" max="5" width="11.5546875" bestFit="1" customWidth="1"/>
    <col min="6" max="6" width="9.88671875" bestFit="1" customWidth="1"/>
    <col min="7" max="7" width="11.5546875" bestFit="1" customWidth="1"/>
    <col min="8" max="8" width="9.88671875" bestFit="1" customWidth="1"/>
  </cols>
  <sheetData>
    <row r="1" spans="1:8" x14ac:dyDescent="0.3">
      <c r="A1" s="231" t="s">
        <v>147</v>
      </c>
      <c r="B1" s="41"/>
      <c r="C1" s="42"/>
      <c r="D1" s="43" t="s">
        <v>30</v>
      </c>
      <c r="E1" s="41"/>
      <c r="F1" s="43" t="s">
        <v>30</v>
      </c>
      <c r="G1" s="41"/>
      <c r="H1" s="43" t="s">
        <v>30</v>
      </c>
    </row>
    <row r="2" spans="1:8" x14ac:dyDescent="0.3">
      <c r="A2" s="231"/>
      <c r="B2" s="47" t="s">
        <v>32</v>
      </c>
      <c r="C2" s="47" t="s">
        <v>33</v>
      </c>
      <c r="D2" s="43" t="s">
        <v>34</v>
      </c>
      <c r="E2" s="47" t="s">
        <v>35</v>
      </c>
      <c r="F2" s="43" t="s">
        <v>36</v>
      </c>
      <c r="G2" s="47" t="s">
        <v>37</v>
      </c>
      <c r="H2" s="48" t="s">
        <v>38</v>
      </c>
    </row>
    <row r="3" spans="1:8" x14ac:dyDescent="0.3">
      <c r="A3" s="26" t="s">
        <v>41</v>
      </c>
      <c r="B3" s="27">
        <v>13300</v>
      </c>
      <c r="C3" s="27">
        <v>13500</v>
      </c>
      <c r="D3" s="58">
        <v>1.5037593984962516E-2</v>
      </c>
      <c r="E3" s="27">
        <v>14175</v>
      </c>
      <c r="F3" s="58">
        <v>5.0000000000000044E-2</v>
      </c>
      <c r="G3" s="27">
        <v>14850</v>
      </c>
      <c r="H3" s="58">
        <v>4.7619047619047672E-2</v>
      </c>
    </row>
    <row r="4" spans="1:8" x14ac:dyDescent="0.3">
      <c r="A4" s="26" t="s">
        <v>41</v>
      </c>
      <c r="B4" s="16">
        <v>683973.6</v>
      </c>
      <c r="C4" s="16">
        <v>778900</v>
      </c>
      <c r="D4" s="58">
        <v>0.13878664322716561</v>
      </c>
      <c r="E4" s="16">
        <v>584685</v>
      </c>
      <c r="F4" s="58">
        <v>-0.24934523045320323</v>
      </c>
      <c r="G4" s="16">
        <v>609670</v>
      </c>
      <c r="H4" s="58">
        <v>4.2732411469423637E-2</v>
      </c>
    </row>
    <row r="5" spans="1:8" x14ac:dyDescent="0.3">
      <c r="A5" s="26" t="s">
        <v>59</v>
      </c>
      <c r="B5" s="27">
        <v>67530</v>
      </c>
      <c r="C5" s="27">
        <v>88400</v>
      </c>
      <c r="D5" s="58">
        <v>0.30904783059381025</v>
      </c>
      <c r="E5" s="27">
        <v>92820</v>
      </c>
      <c r="F5" s="58">
        <v>5.0000000000000044E-2</v>
      </c>
      <c r="G5" s="27">
        <v>97240</v>
      </c>
      <c r="H5" s="58">
        <v>4.7619047619047672E-2</v>
      </c>
    </row>
    <row r="6" spans="1:8" x14ac:dyDescent="0.3">
      <c r="A6" s="26" t="s">
        <v>73</v>
      </c>
      <c r="B6" s="27">
        <v>185000</v>
      </c>
      <c r="C6" s="27">
        <v>355500</v>
      </c>
      <c r="D6" s="58">
        <v>0.92162162162162153</v>
      </c>
      <c r="E6" s="27">
        <v>357275</v>
      </c>
      <c r="F6" s="58">
        <v>4.9929676511955012E-3</v>
      </c>
      <c r="G6" s="27">
        <v>199050</v>
      </c>
      <c r="H6" s="58">
        <v>-0.4428661395283745</v>
      </c>
    </row>
    <row r="7" spans="1:8" x14ac:dyDescent="0.3">
      <c r="A7" s="26" t="s">
        <v>77</v>
      </c>
      <c r="B7" s="27">
        <v>1064800</v>
      </c>
      <c r="C7" s="27">
        <v>1348000</v>
      </c>
      <c r="D7" s="58">
        <v>0.26596543951915863</v>
      </c>
      <c r="E7" s="27">
        <v>1373400</v>
      </c>
      <c r="F7" s="58">
        <v>1.8842729970326433E-2</v>
      </c>
      <c r="G7" s="27">
        <v>1438800</v>
      </c>
      <c r="H7" s="58">
        <v>4.7619047619047672E-2</v>
      </c>
    </row>
    <row r="8" spans="1:8" x14ac:dyDescent="0.3">
      <c r="A8" s="26" t="s">
        <v>100</v>
      </c>
      <c r="B8" s="27">
        <v>109000</v>
      </c>
      <c r="C8" s="27">
        <v>120000</v>
      </c>
      <c r="D8" s="58">
        <v>0.10091743119266061</v>
      </c>
      <c r="E8" s="27">
        <v>126000</v>
      </c>
      <c r="F8" s="58">
        <v>5.0000000000000044E-2</v>
      </c>
      <c r="G8" s="27">
        <v>132000</v>
      </c>
      <c r="H8" s="58">
        <v>4.7619047619047672E-2</v>
      </c>
    </row>
    <row r="9" spans="1:8" x14ac:dyDescent="0.3">
      <c r="A9" s="26" t="s">
        <v>105</v>
      </c>
      <c r="B9" s="27">
        <v>79100</v>
      </c>
      <c r="C9" s="27">
        <v>107400</v>
      </c>
      <c r="D9" s="58">
        <v>0.35777496839443734</v>
      </c>
      <c r="E9" s="27">
        <v>112770</v>
      </c>
      <c r="F9" s="58">
        <v>5.0000000000000044E-2</v>
      </c>
      <c r="G9" s="27">
        <v>118140</v>
      </c>
      <c r="H9" s="58">
        <v>4.7619047619047672E-2</v>
      </c>
    </row>
    <row r="10" spans="1:8" x14ac:dyDescent="0.3">
      <c r="A10" s="26" t="s">
        <v>117</v>
      </c>
      <c r="B10" s="27">
        <v>65900</v>
      </c>
      <c r="C10" s="27">
        <v>149900</v>
      </c>
      <c r="D10" s="58">
        <v>1.274658573596358</v>
      </c>
      <c r="E10" s="27">
        <v>157395</v>
      </c>
      <c r="F10" s="58">
        <v>5.0000000000000044E-2</v>
      </c>
      <c r="G10" s="27">
        <v>164890</v>
      </c>
      <c r="H10" s="58">
        <v>4.7619047619047672E-2</v>
      </c>
    </row>
    <row r="11" spans="1:8" x14ac:dyDescent="0.3">
      <c r="A11" s="26" t="s">
        <v>128</v>
      </c>
      <c r="B11" s="27">
        <v>224500</v>
      </c>
      <c r="C11" s="27">
        <v>403000</v>
      </c>
      <c r="D11" s="58">
        <v>0.79510022271714931</v>
      </c>
      <c r="E11" s="27">
        <v>423150</v>
      </c>
      <c r="F11" s="58">
        <v>5.0000000000000044E-2</v>
      </c>
      <c r="G11" s="27">
        <v>443300</v>
      </c>
      <c r="H11" s="58">
        <v>4.7619047619047672E-2</v>
      </c>
    </row>
    <row r="12" spans="1:8" x14ac:dyDescent="0.3">
      <c r="A12" s="26" t="s">
        <v>137</v>
      </c>
      <c r="B12" s="27">
        <v>69500</v>
      </c>
      <c r="C12" s="27">
        <v>87500</v>
      </c>
      <c r="D12" s="58">
        <v>0.25899280575539563</v>
      </c>
      <c r="E12" s="27">
        <v>91875</v>
      </c>
      <c r="F12" s="58">
        <v>5.0000000000000044E-2</v>
      </c>
      <c r="G12" s="27">
        <v>96250</v>
      </c>
      <c r="H12" s="58">
        <v>4.7619047619047672E-2</v>
      </c>
    </row>
    <row r="15" spans="1:8" x14ac:dyDescent="0.3">
      <c r="A15" t="s">
        <v>148</v>
      </c>
    </row>
  </sheetData>
  <mergeCells count="1"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922BD-C817-4163-BE4B-39DFC259BF89}">
  <dimension ref="A1:I112"/>
  <sheetViews>
    <sheetView workbookViewId="0">
      <pane ySplit="2" topLeftCell="A3" activePane="bottomLeft" state="frozen"/>
      <selection pane="bottomLeft" activeCell="B5" sqref="B5"/>
    </sheetView>
  </sheetViews>
  <sheetFormatPr defaultRowHeight="14.4" x14ac:dyDescent="0.3"/>
  <cols>
    <col min="1" max="1" width="52.77734375" bestFit="1" customWidth="1"/>
    <col min="2" max="2" width="85.77734375" bestFit="1" customWidth="1"/>
    <col min="3" max="4" width="10" bestFit="1" customWidth="1"/>
    <col min="5" max="5" width="9.88671875" bestFit="1" customWidth="1"/>
    <col min="6" max="6" width="10" bestFit="1" customWidth="1"/>
    <col min="7" max="7" width="11.88671875" bestFit="1" customWidth="1"/>
    <col min="8" max="8" width="10" bestFit="1" customWidth="1"/>
    <col min="9" max="9" width="9.88671875" bestFit="1" customWidth="1"/>
  </cols>
  <sheetData>
    <row r="1" spans="1:9" x14ac:dyDescent="0.3">
      <c r="A1" s="231" t="s">
        <v>189</v>
      </c>
      <c r="B1" s="231" t="s">
        <v>190</v>
      </c>
      <c r="C1" s="41"/>
      <c r="D1" s="42"/>
      <c r="E1" s="43" t="s">
        <v>30</v>
      </c>
      <c r="F1" s="41"/>
      <c r="G1" s="43" t="s">
        <v>30</v>
      </c>
      <c r="H1" s="41"/>
      <c r="I1" s="43" t="s">
        <v>30</v>
      </c>
    </row>
    <row r="2" spans="1:9" x14ac:dyDescent="0.3">
      <c r="A2" s="231"/>
      <c r="B2" s="231"/>
      <c r="C2" s="47" t="s">
        <v>32</v>
      </c>
      <c r="D2" s="47" t="s">
        <v>33</v>
      </c>
      <c r="E2" s="43" t="s">
        <v>34</v>
      </c>
      <c r="F2" s="47" t="s">
        <v>35</v>
      </c>
      <c r="G2" s="43" t="s">
        <v>36</v>
      </c>
      <c r="H2" s="47" t="s">
        <v>37</v>
      </c>
      <c r="I2" s="48" t="s">
        <v>38</v>
      </c>
    </row>
    <row r="3" spans="1:9" x14ac:dyDescent="0.3">
      <c r="A3" s="53" t="s">
        <v>42</v>
      </c>
      <c r="B3" s="53"/>
      <c r="C3" s="27">
        <v>13300</v>
      </c>
      <c r="D3" s="27">
        <v>13500</v>
      </c>
      <c r="E3" s="58">
        <v>1.5037593984962516E-2</v>
      </c>
      <c r="F3" s="27">
        <v>14175</v>
      </c>
      <c r="G3" s="69">
        <v>5.0000000000000044E-2</v>
      </c>
      <c r="H3" s="27">
        <v>14850</v>
      </c>
      <c r="I3" s="58">
        <v>4.7619047619047672E-2</v>
      </c>
    </row>
    <row r="4" spans="1:9" x14ac:dyDescent="0.3">
      <c r="A4" s="60"/>
      <c r="B4" s="60" t="s">
        <v>43</v>
      </c>
      <c r="C4" s="64">
        <v>13300</v>
      </c>
      <c r="D4" s="64">
        <v>13500</v>
      </c>
      <c r="E4" s="65">
        <v>1.5037593984962516E-2</v>
      </c>
      <c r="F4" s="64">
        <v>14175</v>
      </c>
      <c r="G4" s="71">
        <v>-2.0841472584507414E-3</v>
      </c>
      <c r="H4" s="64">
        <v>14850</v>
      </c>
      <c r="I4" s="65">
        <v>-2.0841472584507414E-3</v>
      </c>
    </row>
    <row r="5" spans="1:9" x14ac:dyDescent="0.3">
      <c r="A5" s="53" t="s">
        <v>46</v>
      </c>
      <c r="B5" s="53"/>
      <c r="C5" s="27">
        <v>683973.6</v>
      </c>
      <c r="D5" s="27">
        <v>778900</v>
      </c>
      <c r="E5" s="58">
        <v>0.13878664322716561</v>
      </c>
      <c r="F5" s="27">
        <v>584685</v>
      </c>
      <c r="G5" s="69">
        <v>-0.24934523045320323</v>
      </c>
      <c r="H5" s="27">
        <v>609670</v>
      </c>
      <c r="I5" s="58">
        <v>4.2732411469423637E-2</v>
      </c>
    </row>
    <row r="6" spans="1:9" x14ac:dyDescent="0.3">
      <c r="A6" s="60"/>
      <c r="B6" s="60" t="s">
        <v>47</v>
      </c>
      <c r="C6" s="61">
        <v>168400</v>
      </c>
      <c r="D6" s="61">
        <v>199500</v>
      </c>
      <c r="E6" s="65">
        <v>0.1846793349168645</v>
      </c>
      <c r="F6" s="61">
        <v>209475</v>
      </c>
      <c r="G6" s="71">
        <v>5.0000000000000044E-2</v>
      </c>
      <c r="H6" s="61">
        <v>219450</v>
      </c>
      <c r="I6" s="71">
        <v>4.7619047619047672E-2</v>
      </c>
    </row>
    <row r="7" spans="1:9" x14ac:dyDescent="0.3">
      <c r="A7" s="60"/>
      <c r="B7" s="60" t="s">
        <v>48</v>
      </c>
      <c r="C7" s="64">
        <v>2000</v>
      </c>
      <c r="D7" s="64">
        <v>2000</v>
      </c>
      <c r="E7" s="65">
        <v>0</v>
      </c>
      <c r="F7" s="64">
        <v>2100</v>
      </c>
      <c r="G7" s="71">
        <v>5.0000000000000044E-2</v>
      </c>
      <c r="H7" s="64">
        <v>2200</v>
      </c>
      <c r="I7" s="71">
        <v>4.7619047619047672E-2</v>
      </c>
    </row>
    <row r="8" spans="1:9" x14ac:dyDescent="0.3">
      <c r="A8" s="60"/>
      <c r="B8" s="60" t="s">
        <v>49</v>
      </c>
      <c r="C8" s="64">
        <v>0</v>
      </c>
      <c r="D8" s="64">
        <v>53000</v>
      </c>
      <c r="E8" s="65"/>
      <c r="F8" s="64">
        <v>0</v>
      </c>
      <c r="G8" s="71">
        <v>-1</v>
      </c>
      <c r="H8" s="64">
        <v>0</v>
      </c>
      <c r="I8" s="71"/>
    </row>
    <row r="9" spans="1:9" x14ac:dyDescent="0.3">
      <c r="A9" s="60"/>
      <c r="B9" s="60" t="s">
        <v>50</v>
      </c>
      <c r="C9" s="64">
        <v>27000</v>
      </c>
      <c r="D9" s="64">
        <v>50000</v>
      </c>
      <c r="E9" s="65">
        <v>0.85185185185185186</v>
      </c>
      <c r="F9" s="64">
        <v>52500</v>
      </c>
      <c r="G9" s="71">
        <v>5.0000000000000044E-2</v>
      </c>
      <c r="H9" s="64">
        <v>55000</v>
      </c>
      <c r="I9" s="71">
        <v>4.7619047619047672E-2</v>
      </c>
    </row>
    <row r="10" spans="1:9" x14ac:dyDescent="0.3">
      <c r="A10" s="60"/>
      <c r="B10" s="79" t="s">
        <v>51</v>
      </c>
      <c r="C10" s="64">
        <v>66361.399999999994</v>
      </c>
      <c r="D10" s="64">
        <v>62200</v>
      </c>
      <c r="E10" s="65">
        <v>-6.270814057569607E-2</v>
      </c>
      <c r="F10" s="81">
        <v>62200</v>
      </c>
      <c r="G10" s="71">
        <v>0</v>
      </c>
      <c r="H10" s="81">
        <v>62200</v>
      </c>
      <c r="I10" s="71">
        <v>0</v>
      </c>
    </row>
    <row r="11" spans="1:9" x14ac:dyDescent="0.3">
      <c r="A11" s="60"/>
      <c r="B11" s="60" t="s">
        <v>176</v>
      </c>
      <c r="C11" s="64">
        <v>4000</v>
      </c>
      <c r="D11" s="64">
        <v>6000</v>
      </c>
      <c r="E11" s="65">
        <v>0.5</v>
      </c>
      <c r="F11" s="81">
        <v>6300</v>
      </c>
      <c r="G11" s="71">
        <v>5.0000000000000044E-2</v>
      </c>
      <c r="H11" s="81">
        <v>6600</v>
      </c>
      <c r="I11" s="71">
        <v>4.7619047619047672E-2</v>
      </c>
    </row>
    <row r="12" spans="1:9" x14ac:dyDescent="0.3">
      <c r="A12" s="60"/>
      <c r="B12" s="82" t="s">
        <v>52</v>
      </c>
      <c r="C12" s="81">
        <v>1500</v>
      </c>
      <c r="D12" s="81">
        <v>3000</v>
      </c>
      <c r="E12" s="65">
        <v>1</v>
      </c>
      <c r="F12" s="81">
        <v>3150</v>
      </c>
      <c r="G12" s="71">
        <v>5.0000000000000044E-2</v>
      </c>
      <c r="H12" s="81">
        <v>3300</v>
      </c>
      <c r="I12" s="71">
        <v>4.7619047619047672E-2</v>
      </c>
    </row>
    <row r="13" spans="1:9" x14ac:dyDescent="0.3">
      <c r="A13" s="60"/>
      <c r="B13" s="82" t="s">
        <v>178</v>
      </c>
      <c r="C13" s="81">
        <v>53089.13</v>
      </c>
      <c r="D13" s="81">
        <v>26000</v>
      </c>
      <c r="E13" s="65">
        <v>-0.51025756119943955</v>
      </c>
      <c r="F13" s="81">
        <v>0</v>
      </c>
      <c r="G13" s="71">
        <v>-1</v>
      </c>
      <c r="H13" s="81">
        <v>0</v>
      </c>
      <c r="I13" s="71"/>
    </row>
    <row r="14" spans="1:9" x14ac:dyDescent="0.3">
      <c r="A14" s="60"/>
      <c r="B14" s="82" t="s">
        <v>170</v>
      </c>
      <c r="C14" s="81">
        <v>100000</v>
      </c>
      <c r="D14" s="81">
        <v>140000</v>
      </c>
      <c r="E14" s="65">
        <v>0.39999999999999991</v>
      </c>
      <c r="F14" s="81">
        <v>0</v>
      </c>
      <c r="G14" s="71">
        <v>-1</v>
      </c>
      <c r="H14" s="81">
        <v>0</v>
      </c>
      <c r="I14" s="71"/>
    </row>
    <row r="15" spans="1:9" x14ac:dyDescent="0.3">
      <c r="A15" s="60"/>
      <c r="B15" s="82" t="s">
        <v>53</v>
      </c>
      <c r="C15" s="81">
        <v>213023.07</v>
      </c>
      <c r="D15" s="81">
        <v>150000</v>
      </c>
      <c r="E15" s="65">
        <v>-0.29585091417563369</v>
      </c>
      <c r="F15" s="81">
        <v>157500</v>
      </c>
      <c r="G15" s="71">
        <v>5.0000000000000044E-2</v>
      </c>
      <c r="H15" s="81">
        <v>165000.00000000003</v>
      </c>
      <c r="I15" s="71">
        <v>4.7619047619047894E-2</v>
      </c>
    </row>
    <row r="16" spans="1:9" x14ac:dyDescent="0.3">
      <c r="A16" s="60"/>
      <c r="B16" s="82" t="s">
        <v>54</v>
      </c>
      <c r="C16" s="64">
        <v>1400</v>
      </c>
      <c r="D16" s="64">
        <v>2700</v>
      </c>
      <c r="E16" s="65">
        <v>0.9285714285714286</v>
      </c>
      <c r="F16" s="64">
        <v>2835</v>
      </c>
      <c r="G16" s="71">
        <v>5.0000000000000044E-2</v>
      </c>
      <c r="H16" s="64">
        <v>2970</v>
      </c>
      <c r="I16" s="71">
        <v>4.7619047619047672E-2</v>
      </c>
    </row>
    <row r="17" spans="1:9" x14ac:dyDescent="0.3">
      <c r="A17" s="60"/>
      <c r="B17" s="82" t="s">
        <v>55</v>
      </c>
      <c r="C17" s="64">
        <v>15000</v>
      </c>
      <c r="D17" s="64">
        <v>20000</v>
      </c>
      <c r="E17" s="65">
        <v>0.33333333333333326</v>
      </c>
      <c r="F17" s="64">
        <v>21000</v>
      </c>
      <c r="G17" s="71">
        <v>5.0000000000000044E-2</v>
      </c>
      <c r="H17" s="64">
        <v>22000</v>
      </c>
      <c r="I17" s="71">
        <v>4.7619047619047672E-2</v>
      </c>
    </row>
    <row r="18" spans="1:9" x14ac:dyDescent="0.3">
      <c r="A18" s="60"/>
      <c r="B18" s="82" t="s">
        <v>57</v>
      </c>
      <c r="C18" s="64">
        <v>800</v>
      </c>
      <c r="D18" s="64">
        <v>1000</v>
      </c>
      <c r="E18" s="65">
        <v>0.25</v>
      </c>
      <c r="F18" s="64">
        <v>1050</v>
      </c>
      <c r="G18" s="71">
        <v>5.0000000000000044E-2</v>
      </c>
      <c r="H18" s="64">
        <v>1100</v>
      </c>
      <c r="I18" s="71">
        <v>4.7619047619047672E-2</v>
      </c>
    </row>
    <row r="19" spans="1:9" x14ac:dyDescent="0.3">
      <c r="A19" s="60"/>
      <c r="B19" s="82" t="s">
        <v>177</v>
      </c>
      <c r="C19" s="64">
        <v>1400</v>
      </c>
      <c r="D19" s="64">
        <v>1500</v>
      </c>
      <c r="E19" s="65">
        <v>7.1428571428571397E-2</v>
      </c>
      <c r="F19" s="64">
        <v>1575</v>
      </c>
      <c r="G19" s="71">
        <v>5.0000000000000044E-2</v>
      </c>
      <c r="H19" s="64">
        <v>1650</v>
      </c>
      <c r="I19" s="71">
        <v>4.7619047619047672E-2</v>
      </c>
    </row>
    <row r="20" spans="1:9" x14ac:dyDescent="0.3">
      <c r="A20" s="60"/>
      <c r="B20" s="82" t="s">
        <v>58</v>
      </c>
      <c r="C20" s="64">
        <v>30000</v>
      </c>
      <c r="D20" s="64">
        <v>62000</v>
      </c>
      <c r="E20" s="65">
        <v>1.0666666666666669</v>
      </c>
      <c r="F20" s="64">
        <v>65000</v>
      </c>
      <c r="G20" s="71">
        <v>4.8387096774193505E-2</v>
      </c>
      <c r="H20" s="64">
        <v>68200</v>
      </c>
      <c r="I20" s="71">
        <v>4.9230769230769189E-2</v>
      </c>
    </row>
    <row r="21" spans="1:9" x14ac:dyDescent="0.3">
      <c r="A21" s="53" t="s">
        <v>60</v>
      </c>
      <c r="B21" s="53"/>
      <c r="C21" s="27">
        <v>67530</v>
      </c>
      <c r="D21" s="27">
        <v>88400</v>
      </c>
      <c r="E21" s="58">
        <v>0.30904783059381025</v>
      </c>
      <c r="F21" s="27">
        <v>92820</v>
      </c>
      <c r="G21" s="69">
        <v>5.0000000000000044E-2</v>
      </c>
      <c r="H21" s="27">
        <v>97240</v>
      </c>
      <c r="I21" s="58">
        <v>4.7619047619047672E-2</v>
      </c>
    </row>
    <row r="22" spans="1:9" x14ac:dyDescent="0.3">
      <c r="A22" s="60"/>
      <c r="B22" s="79" t="s">
        <v>61</v>
      </c>
      <c r="C22" s="64">
        <v>33200</v>
      </c>
      <c r="D22" s="64">
        <v>50000</v>
      </c>
      <c r="E22" s="65">
        <v>0.50602409638554224</v>
      </c>
      <c r="F22" s="64">
        <v>52500</v>
      </c>
      <c r="G22" s="71">
        <v>5.0000000000000044E-2</v>
      </c>
      <c r="H22" s="64">
        <v>55000</v>
      </c>
      <c r="I22" s="71">
        <v>4.7619047619047672E-2</v>
      </c>
    </row>
    <row r="23" spans="1:9" x14ac:dyDescent="0.3">
      <c r="A23" s="60"/>
      <c r="B23" s="79" t="s">
        <v>62</v>
      </c>
      <c r="C23" s="64">
        <v>3200</v>
      </c>
      <c r="D23" s="64">
        <v>5000</v>
      </c>
      <c r="E23" s="65">
        <v>0.5625</v>
      </c>
      <c r="F23" s="64">
        <v>5250</v>
      </c>
      <c r="G23" s="71">
        <v>5.0000000000000044E-2</v>
      </c>
      <c r="H23" s="64">
        <v>5500</v>
      </c>
      <c r="I23" s="71">
        <v>4.7619047619047672E-2</v>
      </c>
    </row>
    <row r="24" spans="1:9" x14ac:dyDescent="0.3">
      <c r="A24" s="60"/>
      <c r="B24" s="79" t="s">
        <v>63</v>
      </c>
      <c r="C24" s="64">
        <v>1400</v>
      </c>
      <c r="D24" s="64">
        <v>2000</v>
      </c>
      <c r="E24" s="65">
        <v>0.4285714285714286</v>
      </c>
      <c r="F24" s="64">
        <v>2100</v>
      </c>
      <c r="G24" s="71">
        <v>5.0000000000000044E-2</v>
      </c>
      <c r="H24" s="64">
        <v>2200</v>
      </c>
      <c r="I24" s="71">
        <v>4.7619047619047672E-2</v>
      </c>
    </row>
    <row r="25" spans="1:9" x14ac:dyDescent="0.3">
      <c r="A25" s="60"/>
      <c r="B25" s="79" t="s">
        <v>64</v>
      </c>
      <c r="C25" s="64">
        <v>2000</v>
      </c>
      <c r="D25" s="64">
        <v>2000</v>
      </c>
      <c r="E25" s="65">
        <v>0</v>
      </c>
      <c r="F25" s="64">
        <v>2100</v>
      </c>
      <c r="G25" s="71">
        <v>5.0000000000000044E-2</v>
      </c>
      <c r="H25" s="64">
        <v>2200</v>
      </c>
      <c r="I25" s="71">
        <v>4.7619047619047672E-2</v>
      </c>
    </row>
    <row r="26" spans="1:9" x14ac:dyDescent="0.3">
      <c r="A26" s="60"/>
      <c r="B26" s="79" t="s">
        <v>65</v>
      </c>
      <c r="C26" s="64">
        <v>5600</v>
      </c>
      <c r="D26" s="64">
        <v>5000</v>
      </c>
      <c r="E26" s="65">
        <v>-0.1071428571428571</v>
      </c>
      <c r="F26" s="64">
        <v>5250</v>
      </c>
      <c r="G26" s="71">
        <v>5.0000000000000044E-2</v>
      </c>
      <c r="H26" s="64">
        <v>5500</v>
      </c>
      <c r="I26" s="71">
        <v>4.7619047619047672E-2</v>
      </c>
    </row>
    <row r="27" spans="1:9" x14ac:dyDescent="0.3">
      <c r="A27" s="60"/>
      <c r="B27" s="79" t="s">
        <v>66</v>
      </c>
      <c r="C27" s="64">
        <v>660</v>
      </c>
      <c r="D27" s="64">
        <v>700</v>
      </c>
      <c r="E27" s="65">
        <v>6.0606060606060552E-2</v>
      </c>
      <c r="F27" s="64">
        <v>735</v>
      </c>
      <c r="G27" s="71">
        <v>5.0000000000000044E-2</v>
      </c>
      <c r="H27" s="64">
        <v>770</v>
      </c>
      <c r="I27" s="71">
        <v>4.7619047619047672E-2</v>
      </c>
    </row>
    <row r="28" spans="1:9" x14ac:dyDescent="0.3">
      <c r="A28" s="60"/>
      <c r="B28" s="79" t="s">
        <v>67</v>
      </c>
      <c r="C28" s="64">
        <v>270</v>
      </c>
      <c r="D28" s="64">
        <v>700</v>
      </c>
      <c r="E28" s="65">
        <v>1.5925925925925926</v>
      </c>
      <c r="F28" s="64">
        <v>735</v>
      </c>
      <c r="G28" s="71">
        <v>5.0000000000000044E-2</v>
      </c>
      <c r="H28" s="64">
        <v>770</v>
      </c>
      <c r="I28" s="71">
        <v>4.7619047619047672E-2</v>
      </c>
    </row>
    <row r="29" spans="1:9" x14ac:dyDescent="0.3">
      <c r="A29" s="60"/>
      <c r="B29" s="79" t="s">
        <v>68</v>
      </c>
      <c r="C29" s="64">
        <v>2000</v>
      </c>
      <c r="D29" s="64">
        <v>2000</v>
      </c>
      <c r="E29" s="65">
        <v>0</v>
      </c>
      <c r="F29" s="64">
        <v>2100</v>
      </c>
      <c r="G29" s="71">
        <v>5.0000000000000044E-2</v>
      </c>
      <c r="H29" s="64">
        <v>2200</v>
      </c>
      <c r="I29" s="71">
        <v>4.7619047619047672E-2</v>
      </c>
    </row>
    <row r="30" spans="1:9" x14ac:dyDescent="0.3">
      <c r="A30" s="60"/>
      <c r="B30" s="79" t="s">
        <v>69</v>
      </c>
      <c r="C30" s="64">
        <v>1400</v>
      </c>
      <c r="D30" s="64">
        <v>2000</v>
      </c>
      <c r="E30" s="65">
        <v>0.4285714285714286</v>
      </c>
      <c r="F30" s="64">
        <v>2100</v>
      </c>
      <c r="G30" s="71">
        <v>5.0000000000000044E-2</v>
      </c>
      <c r="H30" s="64">
        <v>2200</v>
      </c>
      <c r="I30" s="71">
        <v>4.7619047619047672E-2</v>
      </c>
    </row>
    <row r="31" spans="1:9" x14ac:dyDescent="0.3">
      <c r="A31" s="99"/>
      <c r="B31" s="100" t="s">
        <v>70</v>
      </c>
      <c r="C31" s="64">
        <v>1400</v>
      </c>
      <c r="D31" s="64">
        <v>2000</v>
      </c>
      <c r="E31" s="65">
        <v>0.4285714285714286</v>
      </c>
      <c r="F31" s="64">
        <v>2100</v>
      </c>
      <c r="G31" s="71">
        <v>5.0000000000000044E-2</v>
      </c>
      <c r="H31" s="64">
        <v>2200</v>
      </c>
      <c r="I31" s="71">
        <v>4.7619047619047672E-2</v>
      </c>
    </row>
    <row r="32" spans="1:9" x14ac:dyDescent="0.3">
      <c r="A32" s="99"/>
      <c r="B32" s="100" t="s">
        <v>71</v>
      </c>
      <c r="C32" s="64">
        <v>15000</v>
      </c>
      <c r="D32" s="64">
        <v>15000</v>
      </c>
      <c r="E32" s="65">
        <v>0</v>
      </c>
      <c r="F32" s="64">
        <v>15750</v>
      </c>
      <c r="G32" s="71">
        <v>5.0000000000000044E-2</v>
      </c>
      <c r="H32" s="64">
        <v>16500</v>
      </c>
      <c r="I32" s="71">
        <v>4.7619047619047672E-2</v>
      </c>
    </row>
    <row r="33" spans="1:9" x14ac:dyDescent="0.3">
      <c r="A33" s="99"/>
      <c r="B33" s="100" t="s">
        <v>72</v>
      </c>
      <c r="C33" s="64">
        <v>1400</v>
      </c>
      <c r="D33" s="64">
        <v>2000</v>
      </c>
      <c r="E33" s="65">
        <v>0.4285714285714286</v>
      </c>
      <c r="F33" s="64">
        <v>2100</v>
      </c>
      <c r="G33" s="71">
        <v>5.0000000000000044E-2</v>
      </c>
      <c r="H33" s="64">
        <v>2200</v>
      </c>
      <c r="I33" s="71">
        <v>4.7619047619047672E-2</v>
      </c>
    </row>
    <row r="34" spans="1:9" x14ac:dyDescent="0.3">
      <c r="A34" s="53" t="s">
        <v>74</v>
      </c>
      <c r="B34" s="53"/>
      <c r="C34" s="27">
        <v>185000</v>
      </c>
      <c r="D34" s="27">
        <v>355500</v>
      </c>
      <c r="E34" s="58">
        <v>0.92162162162162153</v>
      </c>
      <c r="F34" s="27">
        <v>357275</v>
      </c>
      <c r="G34" s="69">
        <v>4.9929676511955012E-3</v>
      </c>
      <c r="H34" s="27">
        <v>199050</v>
      </c>
      <c r="I34" s="58">
        <v>-0.4428661395283745</v>
      </c>
    </row>
    <row r="35" spans="1:9" x14ac:dyDescent="0.3">
      <c r="A35" s="60"/>
      <c r="B35" s="60" t="s">
        <v>75</v>
      </c>
      <c r="C35" s="64">
        <v>160000</v>
      </c>
      <c r="D35" s="64">
        <v>320000</v>
      </c>
      <c r="E35" s="65">
        <v>1</v>
      </c>
      <c r="F35" s="64">
        <v>320000</v>
      </c>
      <c r="G35" s="71">
        <v>0</v>
      </c>
      <c r="H35" s="64">
        <v>160000</v>
      </c>
      <c r="I35" s="71">
        <v>-0.5</v>
      </c>
    </row>
    <row r="36" spans="1:9" x14ac:dyDescent="0.3">
      <c r="A36" s="60"/>
      <c r="B36" s="60" t="s">
        <v>76</v>
      </c>
      <c r="C36" s="64">
        <v>25000</v>
      </c>
      <c r="D36" s="64">
        <v>35500</v>
      </c>
      <c r="E36" s="65">
        <v>0.41999999999999993</v>
      </c>
      <c r="F36" s="64">
        <v>37275</v>
      </c>
      <c r="G36" s="71">
        <v>5.0000000000000044E-2</v>
      </c>
      <c r="H36" s="64">
        <v>39050</v>
      </c>
      <c r="I36" s="71">
        <v>4.7619047619047672E-2</v>
      </c>
    </row>
    <row r="37" spans="1:9" x14ac:dyDescent="0.3">
      <c r="A37" s="53" t="s">
        <v>78</v>
      </c>
      <c r="B37" s="53"/>
      <c r="C37" s="27">
        <v>565500</v>
      </c>
      <c r="D37" s="27">
        <v>438000</v>
      </c>
      <c r="E37" s="58">
        <v>-0.22546419098143233</v>
      </c>
      <c r="F37" s="27">
        <v>417900</v>
      </c>
      <c r="G37" s="69">
        <v>-4.5890410958904115E-2</v>
      </c>
      <c r="H37" s="27">
        <v>437800</v>
      </c>
      <c r="I37" s="58">
        <v>4.7619047619047672E-2</v>
      </c>
    </row>
    <row r="38" spans="1:9" x14ac:dyDescent="0.3">
      <c r="A38" s="60"/>
      <c r="B38" s="79" t="s">
        <v>79</v>
      </c>
      <c r="C38" s="107">
        <v>7000</v>
      </c>
      <c r="D38" s="107">
        <v>13000</v>
      </c>
      <c r="E38" s="65">
        <v>0.85714285714285721</v>
      </c>
      <c r="F38" s="107">
        <v>13650</v>
      </c>
      <c r="G38" s="71">
        <v>5.0000000000000044E-2</v>
      </c>
      <c r="H38" s="107">
        <v>14300</v>
      </c>
      <c r="I38" s="71">
        <v>4.7619047619047672E-2</v>
      </c>
    </row>
    <row r="39" spans="1:9" x14ac:dyDescent="0.3">
      <c r="A39" s="60"/>
      <c r="B39" s="79" t="s">
        <v>80</v>
      </c>
      <c r="C39" s="107">
        <v>7000</v>
      </c>
      <c r="D39" s="107">
        <v>13000</v>
      </c>
      <c r="E39" s="65">
        <v>0.85714285714285721</v>
      </c>
      <c r="F39" s="107">
        <v>13650</v>
      </c>
      <c r="G39" s="71">
        <v>5.0000000000000044E-2</v>
      </c>
      <c r="H39" s="107">
        <v>14300</v>
      </c>
      <c r="I39" s="71">
        <v>4.7619047619047672E-2</v>
      </c>
    </row>
    <row r="40" spans="1:9" x14ac:dyDescent="0.3">
      <c r="A40" s="60"/>
      <c r="B40" s="79" t="s">
        <v>175</v>
      </c>
      <c r="C40" s="107">
        <v>1500</v>
      </c>
      <c r="D40" s="107">
        <v>2000</v>
      </c>
      <c r="E40" s="65">
        <v>0.33333333333333326</v>
      </c>
      <c r="F40" s="107">
        <v>2100</v>
      </c>
      <c r="G40" s="71">
        <v>5.0000000000000044E-2</v>
      </c>
      <c r="H40" s="107">
        <v>2200</v>
      </c>
      <c r="I40" s="71">
        <v>4.7619047619047672E-2</v>
      </c>
    </row>
    <row r="41" spans="1:9" x14ac:dyDescent="0.3">
      <c r="A41" s="60"/>
      <c r="B41" s="79" t="s">
        <v>82</v>
      </c>
      <c r="C41" s="107">
        <v>400000</v>
      </c>
      <c r="D41" s="107">
        <v>300000</v>
      </c>
      <c r="E41" s="65">
        <v>-0.25</v>
      </c>
      <c r="F41" s="107">
        <v>315000</v>
      </c>
      <c r="G41" s="71">
        <v>5.0000000000000044E-2</v>
      </c>
      <c r="H41" s="107">
        <v>330000</v>
      </c>
      <c r="I41" s="71">
        <v>4.7619047619047672E-2</v>
      </c>
    </row>
    <row r="42" spans="1:9" x14ac:dyDescent="0.3">
      <c r="A42" s="60"/>
      <c r="B42" s="79" t="s">
        <v>180</v>
      </c>
      <c r="C42" s="107">
        <v>0</v>
      </c>
      <c r="D42" s="107">
        <v>10000</v>
      </c>
      <c r="E42" s="65"/>
      <c r="F42" s="107">
        <v>0</v>
      </c>
      <c r="G42" s="71">
        <v>-1</v>
      </c>
      <c r="H42" s="107">
        <v>0</v>
      </c>
      <c r="I42" s="71"/>
    </row>
    <row r="43" spans="1:9" x14ac:dyDescent="0.3">
      <c r="A43" s="60"/>
      <c r="B43" s="79" t="s">
        <v>179</v>
      </c>
      <c r="C43" s="107">
        <v>100000</v>
      </c>
      <c r="D43" s="107">
        <v>30000</v>
      </c>
      <c r="E43" s="65">
        <v>-0.7</v>
      </c>
      <c r="F43" s="107">
        <v>0</v>
      </c>
      <c r="G43" s="71">
        <v>-1</v>
      </c>
      <c r="H43" s="107">
        <v>0</v>
      </c>
      <c r="I43" s="71"/>
    </row>
    <row r="44" spans="1:9" x14ac:dyDescent="0.3">
      <c r="A44" s="60"/>
      <c r="B44" s="79" t="s">
        <v>83</v>
      </c>
      <c r="C44" s="64">
        <v>50000</v>
      </c>
      <c r="D44" s="64">
        <v>70000</v>
      </c>
      <c r="E44" s="65">
        <v>0.39999999999999991</v>
      </c>
      <c r="F44" s="64">
        <v>73500</v>
      </c>
      <c r="G44" s="71">
        <v>5.0000000000000044E-2</v>
      </c>
      <c r="H44" s="64">
        <v>77000</v>
      </c>
      <c r="I44" s="71">
        <v>4.7619047619047672E-2</v>
      </c>
    </row>
    <row r="45" spans="1:9" x14ac:dyDescent="0.3">
      <c r="A45" s="110" t="s">
        <v>84</v>
      </c>
      <c r="B45" s="53"/>
      <c r="C45" s="27">
        <v>60500</v>
      </c>
      <c r="D45" s="27">
        <v>215000</v>
      </c>
      <c r="E45" s="58">
        <v>2.553719008264463</v>
      </c>
      <c r="F45" s="27">
        <v>225750</v>
      </c>
      <c r="G45" s="69">
        <v>5.0000000000000044E-2</v>
      </c>
      <c r="H45" s="27">
        <v>236500</v>
      </c>
      <c r="I45" s="58">
        <v>4.7619047619047672E-2</v>
      </c>
    </row>
    <row r="46" spans="1:9" x14ac:dyDescent="0.3">
      <c r="A46" s="60"/>
      <c r="B46" s="79" t="s">
        <v>85</v>
      </c>
      <c r="C46" s="64">
        <v>27000</v>
      </c>
      <c r="D46" s="64">
        <v>150000</v>
      </c>
      <c r="E46" s="65">
        <v>4.5555555555555554</v>
      </c>
      <c r="F46" s="64">
        <v>157500</v>
      </c>
      <c r="G46" s="71">
        <v>5.0000000000000044E-2</v>
      </c>
      <c r="H46" s="64">
        <v>165000</v>
      </c>
      <c r="I46" s="71">
        <v>4.7619047619047672E-2</v>
      </c>
    </row>
    <row r="47" spans="1:9" x14ac:dyDescent="0.3">
      <c r="A47" s="60"/>
      <c r="B47" s="79" t="s">
        <v>86</v>
      </c>
      <c r="C47" s="64">
        <v>20000</v>
      </c>
      <c r="D47" s="64">
        <v>20000</v>
      </c>
      <c r="E47" s="65">
        <v>0</v>
      </c>
      <c r="F47" s="64">
        <v>21000</v>
      </c>
      <c r="G47" s="71">
        <v>5.0000000000000044E-2</v>
      </c>
      <c r="H47" s="64">
        <v>22000</v>
      </c>
      <c r="I47" s="71">
        <v>4.7619047619047672E-2</v>
      </c>
    </row>
    <row r="48" spans="1:9" x14ac:dyDescent="0.3">
      <c r="A48" s="60"/>
      <c r="B48" s="79" t="s">
        <v>181</v>
      </c>
      <c r="C48" s="64">
        <v>0</v>
      </c>
      <c r="D48" s="64">
        <v>30000</v>
      </c>
      <c r="E48" s="65"/>
      <c r="F48" s="64">
        <v>31500</v>
      </c>
      <c r="G48" s="71">
        <v>5.0000000000000044E-2</v>
      </c>
      <c r="H48" s="64">
        <v>33000</v>
      </c>
      <c r="I48" s="71">
        <v>4.7619047619047672E-2</v>
      </c>
    </row>
    <row r="49" spans="1:9" x14ac:dyDescent="0.3">
      <c r="A49" s="60"/>
      <c r="B49" s="79" t="s">
        <v>182</v>
      </c>
      <c r="C49" s="64">
        <v>13500</v>
      </c>
      <c r="D49" s="64">
        <v>15000</v>
      </c>
      <c r="E49" s="65">
        <v>0.11111111111111116</v>
      </c>
      <c r="F49" s="64">
        <v>15750</v>
      </c>
      <c r="G49" s="71">
        <v>5.0000000000000044E-2</v>
      </c>
      <c r="H49" s="64">
        <v>16500</v>
      </c>
      <c r="I49" s="71">
        <v>4.7619047619047672E-2</v>
      </c>
    </row>
    <row r="50" spans="1:9" x14ac:dyDescent="0.3">
      <c r="A50" s="53" t="s">
        <v>87</v>
      </c>
      <c r="B50" s="53"/>
      <c r="C50" s="27">
        <v>157500</v>
      </c>
      <c r="D50" s="27">
        <v>209000</v>
      </c>
      <c r="E50" s="58">
        <v>0.32698412698412693</v>
      </c>
      <c r="F50" s="27">
        <v>219450</v>
      </c>
      <c r="G50" s="69">
        <v>5.0000000000000044E-2</v>
      </c>
      <c r="H50" s="27">
        <v>229900</v>
      </c>
      <c r="I50" s="58">
        <v>4.7619047619047672E-2</v>
      </c>
    </row>
    <row r="51" spans="1:9" x14ac:dyDescent="0.3">
      <c r="A51" s="60"/>
      <c r="B51" s="79" t="s">
        <v>88</v>
      </c>
      <c r="C51" s="64">
        <v>135000</v>
      </c>
      <c r="D51" s="64">
        <v>90000</v>
      </c>
      <c r="E51" s="65">
        <v>-0.33333333333333337</v>
      </c>
      <c r="F51" s="64">
        <v>94500</v>
      </c>
      <c r="G51" s="71">
        <v>5.0000000000000044E-2</v>
      </c>
      <c r="H51" s="64">
        <v>99000</v>
      </c>
      <c r="I51" s="71">
        <v>4.7619047619047672E-2</v>
      </c>
    </row>
    <row r="52" spans="1:9" x14ac:dyDescent="0.3">
      <c r="A52" s="60"/>
      <c r="B52" s="79" t="s">
        <v>89</v>
      </c>
      <c r="C52" s="64">
        <v>0</v>
      </c>
      <c r="D52" s="64">
        <v>90000</v>
      </c>
      <c r="E52" s="65"/>
      <c r="F52" s="64">
        <v>94500</v>
      </c>
      <c r="G52" s="71">
        <v>5.0000000000000044E-2</v>
      </c>
      <c r="H52" s="64">
        <v>99000</v>
      </c>
      <c r="I52" s="71">
        <v>4.7619047619047672E-2</v>
      </c>
    </row>
    <row r="53" spans="1:9" x14ac:dyDescent="0.3">
      <c r="A53" s="60"/>
      <c r="B53" s="79" t="s">
        <v>90</v>
      </c>
      <c r="C53" s="64">
        <v>6500</v>
      </c>
      <c r="D53" s="64">
        <v>10000</v>
      </c>
      <c r="E53" s="65">
        <v>0.53846153846153855</v>
      </c>
      <c r="F53" s="64">
        <v>10500</v>
      </c>
      <c r="G53" s="71">
        <v>5.0000000000000044E-2</v>
      </c>
      <c r="H53" s="64">
        <v>11000</v>
      </c>
      <c r="I53" s="71">
        <v>4.7619047619047672E-2</v>
      </c>
    </row>
    <row r="54" spans="1:9" x14ac:dyDescent="0.3">
      <c r="A54" s="60"/>
      <c r="B54" s="79" t="s">
        <v>91</v>
      </c>
      <c r="C54" s="64">
        <v>13300</v>
      </c>
      <c r="D54" s="64">
        <v>15000</v>
      </c>
      <c r="E54" s="65">
        <v>0.1278195488721805</v>
      </c>
      <c r="F54" s="64">
        <v>15750</v>
      </c>
      <c r="G54" s="71">
        <v>5.0000000000000044E-2</v>
      </c>
      <c r="H54" s="64">
        <v>16500</v>
      </c>
      <c r="I54" s="71">
        <v>4.7619047619047672E-2</v>
      </c>
    </row>
    <row r="55" spans="1:9" x14ac:dyDescent="0.3">
      <c r="A55" s="60"/>
      <c r="B55" s="79" t="s">
        <v>92</v>
      </c>
      <c r="C55" s="64">
        <v>700</v>
      </c>
      <c r="D55" s="64">
        <v>2000</v>
      </c>
      <c r="E55" s="65">
        <v>1.8571428571428572</v>
      </c>
      <c r="F55" s="64">
        <v>2100</v>
      </c>
      <c r="G55" s="71">
        <v>5.0000000000000044E-2</v>
      </c>
      <c r="H55" s="64">
        <v>2200</v>
      </c>
      <c r="I55" s="71">
        <v>4.7619047619047672E-2</v>
      </c>
    </row>
    <row r="56" spans="1:9" x14ac:dyDescent="0.3">
      <c r="A56" s="60"/>
      <c r="B56" s="79" t="s">
        <v>93</v>
      </c>
      <c r="C56" s="64">
        <v>2000</v>
      </c>
      <c r="D56" s="64">
        <v>2000</v>
      </c>
      <c r="E56" s="65">
        <v>0</v>
      </c>
      <c r="F56" s="64">
        <v>2100</v>
      </c>
      <c r="G56" s="71">
        <v>5.0000000000000044E-2</v>
      </c>
      <c r="H56" s="64">
        <v>2200</v>
      </c>
      <c r="I56" s="71">
        <v>4.7619047619047672E-2</v>
      </c>
    </row>
    <row r="57" spans="1:9" x14ac:dyDescent="0.3">
      <c r="A57" s="53" t="s">
        <v>94</v>
      </c>
      <c r="B57" s="53"/>
      <c r="C57" s="27">
        <v>155000</v>
      </c>
      <c r="D57" s="27">
        <v>341000</v>
      </c>
      <c r="E57" s="58">
        <v>1.2000000000000002</v>
      </c>
      <c r="F57" s="27">
        <v>358050</v>
      </c>
      <c r="G57" s="69">
        <v>5.0000000000000044E-2</v>
      </c>
      <c r="H57" s="27">
        <v>375100</v>
      </c>
      <c r="I57" s="58">
        <v>4.7619047619047672E-2</v>
      </c>
    </row>
    <row r="58" spans="1:9" x14ac:dyDescent="0.3">
      <c r="A58" s="60"/>
      <c r="B58" s="79" t="s">
        <v>183</v>
      </c>
      <c r="C58" s="64">
        <v>60000</v>
      </c>
      <c r="D58" s="64">
        <v>70000</v>
      </c>
      <c r="E58" s="65">
        <v>0.16666666666666674</v>
      </c>
      <c r="F58" s="64">
        <v>73500</v>
      </c>
      <c r="G58" s="71">
        <v>5.0000000000000044E-2</v>
      </c>
      <c r="H58" s="64">
        <v>77000</v>
      </c>
      <c r="I58" s="71">
        <v>4.7619047619047672E-2</v>
      </c>
    </row>
    <row r="59" spans="1:9" x14ac:dyDescent="0.3">
      <c r="A59" s="60"/>
      <c r="B59" s="79" t="s">
        <v>184</v>
      </c>
      <c r="C59" s="64">
        <v>0</v>
      </c>
      <c r="D59" s="64">
        <v>80000</v>
      </c>
      <c r="E59" s="65"/>
      <c r="F59" s="64">
        <v>84000</v>
      </c>
      <c r="G59" s="71">
        <v>5.0000000000000044E-2</v>
      </c>
      <c r="H59" s="64">
        <v>88000</v>
      </c>
      <c r="I59" s="71">
        <v>4.7619047619047672E-2</v>
      </c>
    </row>
    <row r="60" spans="1:9" x14ac:dyDescent="0.3">
      <c r="A60" s="60"/>
      <c r="B60" s="79" t="s">
        <v>95</v>
      </c>
      <c r="C60" s="64">
        <v>30000</v>
      </c>
      <c r="D60" s="64">
        <v>100000</v>
      </c>
      <c r="E60" s="65">
        <v>2.3333333333333335</v>
      </c>
      <c r="F60" s="64">
        <v>105000</v>
      </c>
      <c r="G60" s="71">
        <v>5.0000000000000044E-2</v>
      </c>
      <c r="H60" s="64">
        <v>110000</v>
      </c>
      <c r="I60" s="71">
        <v>4.7619047619047672E-2</v>
      </c>
    </row>
    <row r="61" spans="1:9" x14ac:dyDescent="0.3">
      <c r="A61" s="60"/>
      <c r="B61" s="79" t="s">
        <v>185</v>
      </c>
      <c r="C61" s="64">
        <v>0</v>
      </c>
      <c r="D61" s="64">
        <v>11000</v>
      </c>
      <c r="E61" s="65"/>
      <c r="F61" s="64">
        <v>11550</v>
      </c>
      <c r="G61" s="71">
        <v>5.0000000000000044E-2</v>
      </c>
      <c r="H61" s="64">
        <v>12100</v>
      </c>
      <c r="I61" s="71">
        <v>4.7619047619047672E-2</v>
      </c>
    </row>
    <row r="62" spans="1:9" x14ac:dyDescent="0.3">
      <c r="A62" s="60"/>
      <c r="B62" s="79" t="s">
        <v>172</v>
      </c>
      <c r="C62" s="64">
        <v>65000</v>
      </c>
      <c r="D62" s="64">
        <v>80000</v>
      </c>
      <c r="E62" s="65">
        <v>0.23076923076923084</v>
      </c>
      <c r="F62" s="64">
        <v>84000</v>
      </c>
      <c r="G62" s="71">
        <v>5.0000000000000044E-2</v>
      </c>
      <c r="H62" s="64">
        <v>88000</v>
      </c>
      <c r="I62" s="71">
        <v>4.7619047619047672E-2</v>
      </c>
    </row>
    <row r="63" spans="1:9" x14ac:dyDescent="0.3">
      <c r="A63" s="53" t="s">
        <v>96</v>
      </c>
      <c r="B63" s="53"/>
      <c r="C63" s="27">
        <v>126300</v>
      </c>
      <c r="D63" s="27">
        <v>145000</v>
      </c>
      <c r="E63" s="58">
        <v>0.1480601741884402</v>
      </c>
      <c r="F63" s="27">
        <v>152250</v>
      </c>
      <c r="G63" s="69">
        <v>5.0000000000000044E-2</v>
      </c>
      <c r="H63" s="27">
        <v>159500</v>
      </c>
      <c r="I63" s="58">
        <v>4.7619047619047672E-2</v>
      </c>
    </row>
    <row r="64" spans="1:9" x14ac:dyDescent="0.3">
      <c r="A64" s="60"/>
      <c r="B64" s="79" t="s">
        <v>186</v>
      </c>
      <c r="C64" s="64">
        <v>13500</v>
      </c>
      <c r="D64" s="64">
        <v>15000</v>
      </c>
      <c r="E64" s="65">
        <v>0.11111111111111116</v>
      </c>
      <c r="F64" s="64">
        <v>15750</v>
      </c>
      <c r="G64" s="71">
        <v>5.0000000000000044E-2</v>
      </c>
      <c r="H64" s="64">
        <v>16500</v>
      </c>
      <c r="I64" s="71">
        <v>4.7619047619047672E-2</v>
      </c>
    </row>
    <row r="65" spans="1:9" x14ac:dyDescent="0.3">
      <c r="A65" s="60"/>
      <c r="B65" s="79" t="s">
        <v>171</v>
      </c>
      <c r="C65" s="64">
        <v>60000</v>
      </c>
      <c r="D65" s="64">
        <v>100000</v>
      </c>
      <c r="E65" s="65">
        <v>0.66666666666666674</v>
      </c>
      <c r="F65" s="64">
        <v>105000</v>
      </c>
      <c r="G65" s="71">
        <v>5.0000000000000044E-2</v>
      </c>
      <c r="H65" s="64">
        <v>110000</v>
      </c>
      <c r="I65" s="71">
        <v>4.7619047619047672E-2</v>
      </c>
    </row>
    <row r="66" spans="1:9" x14ac:dyDescent="0.3">
      <c r="A66" s="60"/>
      <c r="B66" s="79" t="s">
        <v>97</v>
      </c>
      <c r="C66" s="64">
        <v>17800</v>
      </c>
      <c r="D66" s="64">
        <v>0</v>
      </c>
      <c r="E66" s="65">
        <v>-1</v>
      </c>
      <c r="F66" s="64">
        <v>0</v>
      </c>
      <c r="G66" s="71"/>
      <c r="H66" s="64">
        <v>0</v>
      </c>
      <c r="I66" s="71"/>
    </row>
    <row r="67" spans="1:9" x14ac:dyDescent="0.3">
      <c r="A67" s="60"/>
      <c r="B67" s="79" t="s">
        <v>98</v>
      </c>
      <c r="C67" s="64">
        <v>20000</v>
      </c>
      <c r="D67" s="64">
        <v>20000</v>
      </c>
      <c r="E67" s="65">
        <v>0</v>
      </c>
      <c r="F67" s="64">
        <v>21000</v>
      </c>
      <c r="G67" s="71">
        <v>5.0000000000000044E-2</v>
      </c>
      <c r="H67" s="64">
        <v>22000</v>
      </c>
      <c r="I67" s="71">
        <v>4.7619047619047672E-2</v>
      </c>
    </row>
    <row r="68" spans="1:9" x14ac:dyDescent="0.3">
      <c r="A68" s="60"/>
      <c r="B68" s="79" t="s">
        <v>99</v>
      </c>
      <c r="C68" s="64">
        <v>15000</v>
      </c>
      <c r="D68" s="64">
        <v>10000</v>
      </c>
      <c r="E68" s="65">
        <v>-0.33333333333333337</v>
      </c>
      <c r="F68" s="64">
        <v>10500</v>
      </c>
      <c r="G68" s="71">
        <v>5.0000000000000044E-2</v>
      </c>
      <c r="H68" s="64">
        <v>11000</v>
      </c>
      <c r="I68" s="71">
        <v>4.7619047619047672E-2</v>
      </c>
    </row>
    <row r="69" spans="1:9" x14ac:dyDescent="0.3">
      <c r="A69" s="110" t="s">
        <v>101</v>
      </c>
      <c r="B69" s="53"/>
      <c r="C69" s="27">
        <v>109000</v>
      </c>
      <c r="D69" s="27">
        <v>120000</v>
      </c>
      <c r="E69" s="58">
        <v>0.10091743119266061</v>
      </c>
      <c r="F69" s="27">
        <v>126000</v>
      </c>
      <c r="G69" s="69">
        <v>5.0000000000000044E-2</v>
      </c>
      <c r="H69" s="27">
        <v>132000</v>
      </c>
      <c r="I69" s="58">
        <v>4.7619047619047672E-2</v>
      </c>
    </row>
    <row r="70" spans="1:9" x14ac:dyDescent="0.3">
      <c r="A70" s="60"/>
      <c r="B70" s="79" t="s">
        <v>102</v>
      </c>
      <c r="C70" s="63">
        <v>67000</v>
      </c>
      <c r="D70" s="63">
        <v>70000</v>
      </c>
      <c r="E70" s="65">
        <v>4.4776119402984982E-2</v>
      </c>
      <c r="F70" s="63">
        <v>73500</v>
      </c>
      <c r="G70" s="71">
        <v>5.0000000000000044E-2</v>
      </c>
      <c r="H70" s="63">
        <v>77000</v>
      </c>
      <c r="I70" s="71">
        <v>4.7619047619047672E-2</v>
      </c>
    </row>
    <row r="71" spans="1:9" x14ac:dyDescent="0.3">
      <c r="A71" s="60"/>
      <c r="B71" s="79" t="s">
        <v>103</v>
      </c>
      <c r="C71" s="63">
        <v>15000</v>
      </c>
      <c r="D71" s="63">
        <v>20000</v>
      </c>
      <c r="E71" s="65">
        <v>0.33333333333333326</v>
      </c>
      <c r="F71" s="63">
        <v>21000</v>
      </c>
      <c r="G71" s="71">
        <v>5.0000000000000044E-2</v>
      </c>
      <c r="H71" s="63">
        <v>22000</v>
      </c>
      <c r="I71" s="71">
        <v>4.7619047619047672E-2</v>
      </c>
    </row>
    <row r="72" spans="1:9" x14ac:dyDescent="0.3">
      <c r="A72" s="60"/>
      <c r="B72" s="79" t="s">
        <v>104</v>
      </c>
      <c r="C72" s="63">
        <v>27000</v>
      </c>
      <c r="D72" s="63">
        <v>30000</v>
      </c>
      <c r="E72" s="65">
        <v>0.11111111111111116</v>
      </c>
      <c r="F72" s="63">
        <v>31500</v>
      </c>
      <c r="G72" s="71">
        <v>5.0000000000000044E-2</v>
      </c>
      <c r="H72" s="63">
        <v>33000</v>
      </c>
      <c r="I72" s="71">
        <v>4.7619047619047672E-2</v>
      </c>
    </row>
    <row r="73" spans="1:9" x14ac:dyDescent="0.3">
      <c r="A73" s="110" t="s">
        <v>106</v>
      </c>
      <c r="B73" s="53"/>
      <c r="C73" s="27">
        <v>79100</v>
      </c>
      <c r="D73" s="27">
        <v>107400</v>
      </c>
      <c r="E73" s="58">
        <v>0.35777496839443734</v>
      </c>
      <c r="F73" s="27">
        <v>112770</v>
      </c>
      <c r="G73" s="69">
        <v>5.0000000000000044E-2</v>
      </c>
      <c r="H73" s="27">
        <v>118140</v>
      </c>
      <c r="I73" s="58">
        <v>4.7619047619047672E-2</v>
      </c>
    </row>
    <row r="74" spans="1:9" x14ac:dyDescent="0.3">
      <c r="A74" s="60"/>
      <c r="B74" s="79" t="s">
        <v>107</v>
      </c>
      <c r="C74" s="64">
        <v>3400</v>
      </c>
      <c r="D74" s="64">
        <v>4000</v>
      </c>
      <c r="E74" s="65">
        <v>0.17647058823529416</v>
      </c>
      <c r="F74" s="64">
        <v>4200</v>
      </c>
      <c r="G74" s="71">
        <v>5.0000000000000044E-2</v>
      </c>
      <c r="H74" s="64">
        <v>4400</v>
      </c>
      <c r="I74" s="71">
        <v>4.7619047619047672E-2</v>
      </c>
    </row>
    <row r="75" spans="1:9" x14ac:dyDescent="0.3">
      <c r="A75" s="60"/>
      <c r="B75" s="79" t="s">
        <v>108</v>
      </c>
      <c r="C75" s="64">
        <v>6500</v>
      </c>
      <c r="D75" s="64">
        <v>10000</v>
      </c>
      <c r="E75" s="65">
        <v>0.53846153846153855</v>
      </c>
      <c r="F75" s="64">
        <v>10500</v>
      </c>
      <c r="G75" s="71">
        <v>5.0000000000000044E-2</v>
      </c>
      <c r="H75" s="64">
        <v>11000</v>
      </c>
      <c r="I75" s="71">
        <v>4.7619047619047672E-2</v>
      </c>
    </row>
    <row r="76" spans="1:9" x14ac:dyDescent="0.3">
      <c r="A76" s="60"/>
      <c r="B76" s="79" t="s">
        <v>109</v>
      </c>
      <c r="C76" s="64">
        <v>1400</v>
      </c>
      <c r="D76" s="64">
        <v>1400</v>
      </c>
      <c r="E76" s="65">
        <v>0</v>
      </c>
      <c r="F76" s="64">
        <v>1470</v>
      </c>
      <c r="G76" s="71">
        <v>5.0000000000000044E-2</v>
      </c>
      <c r="H76" s="64">
        <v>1540</v>
      </c>
      <c r="I76" s="71">
        <v>4.7619047619047672E-2</v>
      </c>
    </row>
    <row r="77" spans="1:9" x14ac:dyDescent="0.3">
      <c r="A77" s="60"/>
      <c r="B77" s="79" t="s">
        <v>110</v>
      </c>
      <c r="C77" s="64">
        <v>5000</v>
      </c>
      <c r="D77" s="64">
        <v>0</v>
      </c>
      <c r="E77" s="65">
        <v>-1</v>
      </c>
      <c r="F77" s="64">
        <v>0</v>
      </c>
      <c r="G77" s="71"/>
      <c r="H77" s="64">
        <v>0</v>
      </c>
      <c r="I77" s="71"/>
    </row>
    <row r="78" spans="1:9" x14ac:dyDescent="0.3">
      <c r="A78" s="60"/>
      <c r="B78" s="79" t="s">
        <v>111</v>
      </c>
      <c r="C78" s="64">
        <v>7000</v>
      </c>
      <c r="D78" s="64">
        <v>15000</v>
      </c>
      <c r="E78" s="65">
        <v>1.1428571428571428</v>
      </c>
      <c r="F78" s="64">
        <v>15750</v>
      </c>
      <c r="G78" s="71">
        <v>5.0000000000000044E-2</v>
      </c>
      <c r="H78" s="64">
        <v>16500</v>
      </c>
      <c r="I78" s="71">
        <v>4.7619047619047672E-2</v>
      </c>
    </row>
    <row r="79" spans="1:9" x14ac:dyDescent="0.3">
      <c r="A79" s="60"/>
      <c r="B79" s="79" t="s">
        <v>112</v>
      </c>
      <c r="C79" s="64">
        <v>13300</v>
      </c>
      <c r="D79" s="64">
        <v>20000</v>
      </c>
      <c r="E79" s="65">
        <v>0.50375939849624052</v>
      </c>
      <c r="F79" s="64">
        <v>21000</v>
      </c>
      <c r="G79" s="71">
        <v>5.0000000000000044E-2</v>
      </c>
      <c r="H79" s="64">
        <v>22000</v>
      </c>
      <c r="I79" s="71">
        <v>4.7619047619047672E-2</v>
      </c>
    </row>
    <row r="80" spans="1:9" x14ac:dyDescent="0.3">
      <c r="A80" s="60"/>
      <c r="B80" s="79" t="s">
        <v>113</v>
      </c>
      <c r="C80" s="64">
        <v>18500</v>
      </c>
      <c r="D80" s="64">
        <v>20000</v>
      </c>
      <c r="E80" s="65">
        <v>8.1081081081081141E-2</v>
      </c>
      <c r="F80" s="64">
        <v>21000</v>
      </c>
      <c r="G80" s="71">
        <v>5.0000000000000044E-2</v>
      </c>
      <c r="H80" s="64">
        <v>22000</v>
      </c>
      <c r="I80" s="71">
        <v>4.7619047619047672E-2</v>
      </c>
    </row>
    <row r="81" spans="1:9" x14ac:dyDescent="0.3">
      <c r="A81" s="60"/>
      <c r="B81" s="79" t="s">
        <v>114</v>
      </c>
      <c r="C81" s="64">
        <v>1400</v>
      </c>
      <c r="D81" s="64">
        <v>2000</v>
      </c>
      <c r="E81" s="65">
        <v>0.4285714285714286</v>
      </c>
      <c r="F81" s="64">
        <v>2100</v>
      </c>
      <c r="G81" s="71">
        <v>5.0000000000000044E-2</v>
      </c>
      <c r="H81" s="64">
        <v>2200</v>
      </c>
      <c r="I81" s="71">
        <v>4.7619047619047672E-2</v>
      </c>
    </row>
    <row r="82" spans="1:9" x14ac:dyDescent="0.3">
      <c r="A82" s="60"/>
      <c r="B82" s="79" t="s">
        <v>115</v>
      </c>
      <c r="C82" s="64">
        <v>16000</v>
      </c>
      <c r="D82" s="64">
        <v>15000</v>
      </c>
      <c r="E82" s="65">
        <v>-6.25E-2</v>
      </c>
      <c r="F82" s="64">
        <v>15750</v>
      </c>
      <c r="G82" s="71">
        <v>5.0000000000000044E-2</v>
      </c>
      <c r="H82" s="64">
        <v>16500</v>
      </c>
      <c r="I82" s="71">
        <v>4.7619047619047672E-2</v>
      </c>
    </row>
    <row r="83" spans="1:9" x14ac:dyDescent="0.3">
      <c r="A83" s="60"/>
      <c r="B83" s="79" t="s">
        <v>116</v>
      </c>
      <c r="C83" s="64">
        <v>6600</v>
      </c>
      <c r="D83" s="64">
        <v>20000</v>
      </c>
      <c r="E83" s="65">
        <v>2.0303030303030303</v>
      </c>
      <c r="F83" s="64">
        <v>21000</v>
      </c>
      <c r="G83" s="71">
        <v>5.0000000000000044E-2</v>
      </c>
      <c r="H83" s="64">
        <v>22000</v>
      </c>
      <c r="I83" s="71">
        <v>4.7619047619047672E-2</v>
      </c>
    </row>
    <row r="84" spans="1:9" x14ac:dyDescent="0.3">
      <c r="A84" s="53" t="s">
        <v>118</v>
      </c>
      <c r="B84" s="53"/>
      <c r="C84" s="27">
        <v>42800</v>
      </c>
      <c r="D84" s="27">
        <v>103400</v>
      </c>
      <c r="E84" s="58">
        <v>1.4158878504672896</v>
      </c>
      <c r="F84" s="27">
        <v>108570</v>
      </c>
      <c r="G84" s="69">
        <v>5.0000000000000044E-2</v>
      </c>
      <c r="H84" s="27">
        <v>113740</v>
      </c>
      <c r="I84" s="58">
        <v>4.7619047619047672E-2</v>
      </c>
    </row>
    <row r="85" spans="1:9" x14ac:dyDescent="0.3">
      <c r="A85" s="60"/>
      <c r="B85" s="60" t="s">
        <v>119</v>
      </c>
      <c r="C85" s="64">
        <v>5400</v>
      </c>
      <c r="D85" s="64">
        <v>30000</v>
      </c>
      <c r="E85" s="65">
        <v>4.5555555555555554</v>
      </c>
      <c r="F85" s="64">
        <v>31500</v>
      </c>
      <c r="G85" s="71">
        <v>5.0000000000000044E-2</v>
      </c>
      <c r="H85" s="64">
        <v>33000</v>
      </c>
      <c r="I85" s="71">
        <v>4.7619047619047672E-2</v>
      </c>
    </row>
    <row r="86" spans="1:9" x14ac:dyDescent="0.3">
      <c r="A86" s="60"/>
      <c r="B86" s="60" t="s">
        <v>120</v>
      </c>
      <c r="C86" s="64">
        <v>1400</v>
      </c>
      <c r="D86" s="64">
        <v>0</v>
      </c>
      <c r="E86" s="65">
        <v>-1</v>
      </c>
      <c r="F86" s="64">
        <v>0</v>
      </c>
      <c r="G86" s="71"/>
      <c r="H86" s="64">
        <v>0</v>
      </c>
      <c r="I86" s="71"/>
    </row>
    <row r="87" spans="1:9" x14ac:dyDescent="0.3">
      <c r="A87" s="60"/>
      <c r="B87" s="60" t="s">
        <v>121</v>
      </c>
      <c r="C87" s="64">
        <v>1400</v>
      </c>
      <c r="D87" s="64">
        <v>1400</v>
      </c>
      <c r="E87" s="65">
        <v>0</v>
      </c>
      <c r="F87" s="64">
        <v>1470</v>
      </c>
      <c r="G87" s="71">
        <v>5.0000000000000044E-2</v>
      </c>
      <c r="H87" s="64">
        <v>1540</v>
      </c>
      <c r="I87" s="71">
        <v>4.7619047619047672E-2</v>
      </c>
    </row>
    <row r="88" spans="1:9" x14ac:dyDescent="0.3">
      <c r="A88" s="60"/>
      <c r="B88" s="82" t="s">
        <v>173</v>
      </c>
      <c r="C88" s="64">
        <v>1400</v>
      </c>
      <c r="D88" s="64">
        <v>2000</v>
      </c>
      <c r="E88" s="65">
        <v>0.4285714285714286</v>
      </c>
      <c r="F88" s="64">
        <v>2100</v>
      </c>
      <c r="G88" s="71">
        <v>5.0000000000000044E-2</v>
      </c>
      <c r="H88" s="64">
        <v>2200</v>
      </c>
      <c r="I88" s="71">
        <v>4.7619047619047672E-2</v>
      </c>
    </row>
    <row r="89" spans="1:9" x14ac:dyDescent="0.3">
      <c r="A89" s="60"/>
      <c r="B89" s="82" t="s">
        <v>187</v>
      </c>
      <c r="C89" s="64">
        <v>0</v>
      </c>
      <c r="D89" s="64">
        <v>10000</v>
      </c>
      <c r="E89" s="65"/>
      <c r="F89" s="64">
        <v>10500</v>
      </c>
      <c r="G89" s="71">
        <v>5.0000000000000044E-2</v>
      </c>
      <c r="H89" s="64">
        <v>11000</v>
      </c>
      <c r="I89" s="71">
        <v>4.7619047619047672E-2</v>
      </c>
    </row>
    <row r="90" spans="1:9" x14ac:dyDescent="0.3">
      <c r="A90" s="60"/>
      <c r="B90" s="60" t="s">
        <v>122</v>
      </c>
      <c r="C90" s="64">
        <v>26500</v>
      </c>
      <c r="D90" s="64">
        <v>50000</v>
      </c>
      <c r="E90" s="65">
        <v>0.8867924528301887</v>
      </c>
      <c r="F90" s="64">
        <v>52500</v>
      </c>
      <c r="G90" s="71">
        <v>5.0000000000000044E-2</v>
      </c>
      <c r="H90" s="64">
        <v>55000</v>
      </c>
      <c r="I90" s="71">
        <v>4.7619047619047672E-2</v>
      </c>
    </row>
    <row r="91" spans="1:9" x14ac:dyDescent="0.3">
      <c r="A91" s="60"/>
      <c r="B91" s="82" t="s">
        <v>123</v>
      </c>
      <c r="C91" s="64">
        <v>6700</v>
      </c>
      <c r="D91" s="64">
        <v>10000</v>
      </c>
      <c r="E91" s="65">
        <v>0.49253731343283591</v>
      </c>
      <c r="F91" s="64">
        <v>10500</v>
      </c>
      <c r="G91" s="71">
        <v>5.0000000000000044E-2</v>
      </c>
      <c r="H91" s="64">
        <v>11000</v>
      </c>
      <c r="I91" s="71">
        <v>4.7619047619047672E-2</v>
      </c>
    </row>
    <row r="92" spans="1:9" x14ac:dyDescent="0.3">
      <c r="A92" s="53" t="s">
        <v>124</v>
      </c>
      <c r="B92" s="53"/>
      <c r="C92" s="76">
        <v>6600</v>
      </c>
      <c r="D92" s="76">
        <v>10000</v>
      </c>
      <c r="E92" s="58"/>
      <c r="F92" s="76">
        <v>10500</v>
      </c>
      <c r="G92" s="69">
        <v>5.0000000000000044E-2</v>
      </c>
      <c r="H92" s="76">
        <v>11000</v>
      </c>
      <c r="I92" s="58">
        <v>4.7619047619047672E-2</v>
      </c>
    </row>
    <row r="93" spans="1:9" x14ac:dyDescent="0.3">
      <c r="A93" s="60"/>
      <c r="B93" s="60" t="s">
        <v>188</v>
      </c>
      <c r="C93" s="107">
        <v>3300</v>
      </c>
      <c r="D93" s="107">
        <v>5000</v>
      </c>
      <c r="E93" s="65">
        <v>0.51515151515151514</v>
      </c>
      <c r="F93" s="107">
        <v>5250</v>
      </c>
      <c r="G93" s="71">
        <v>5.0000000000000044E-2</v>
      </c>
      <c r="H93" s="107">
        <v>5500</v>
      </c>
      <c r="I93" s="71">
        <v>4.7619047619047672E-2</v>
      </c>
    </row>
    <row r="94" spans="1:9" x14ac:dyDescent="0.3">
      <c r="A94" s="60"/>
      <c r="B94" s="60" t="s">
        <v>174</v>
      </c>
      <c r="C94" s="107">
        <v>3300</v>
      </c>
      <c r="D94" s="107">
        <v>5000</v>
      </c>
      <c r="E94" s="65">
        <v>0.51515151515151514</v>
      </c>
      <c r="F94" s="107">
        <v>5250</v>
      </c>
      <c r="G94" s="71">
        <v>5.0000000000000044E-2</v>
      </c>
      <c r="H94" s="107">
        <v>5500</v>
      </c>
      <c r="I94" s="71">
        <v>4.7619047619047672E-2</v>
      </c>
    </row>
    <row r="95" spans="1:9" x14ac:dyDescent="0.3">
      <c r="A95" s="53" t="s">
        <v>125</v>
      </c>
      <c r="B95" s="53"/>
      <c r="C95" s="27">
        <v>16500</v>
      </c>
      <c r="D95" s="27">
        <v>36500</v>
      </c>
      <c r="E95" s="58">
        <v>1.2121212121212119</v>
      </c>
      <c r="F95" s="27">
        <v>38325</v>
      </c>
      <c r="G95" s="69">
        <v>31617.125000000004</v>
      </c>
      <c r="H95" s="27">
        <v>40150</v>
      </c>
      <c r="I95" s="58">
        <v>0.26988143292598532</v>
      </c>
    </row>
    <row r="96" spans="1:9" x14ac:dyDescent="0.3">
      <c r="A96" s="60"/>
      <c r="B96" s="60" t="s">
        <v>126</v>
      </c>
      <c r="C96" s="130">
        <v>6500</v>
      </c>
      <c r="D96" s="130">
        <v>6500</v>
      </c>
      <c r="E96" s="65">
        <v>0</v>
      </c>
      <c r="F96" s="130">
        <v>6825</v>
      </c>
      <c r="G96" s="71">
        <v>5.0000000000000044E-2</v>
      </c>
      <c r="H96" s="130">
        <v>7150</v>
      </c>
      <c r="I96" s="71">
        <v>4.7619047619047672E-2</v>
      </c>
    </row>
    <row r="97" spans="1:9" x14ac:dyDescent="0.3">
      <c r="A97" s="60"/>
      <c r="B97" s="60" t="s">
        <v>127</v>
      </c>
      <c r="C97" s="130">
        <v>10000</v>
      </c>
      <c r="D97" s="130">
        <v>30000</v>
      </c>
      <c r="E97" s="65">
        <v>2</v>
      </c>
      <c r="F97" s="130">
        <v>31500</v>
      </c>
      <c r="G97" s="71">
        <v>5.0000000000000044E-2</v>
      </c>
      <c r="H97" s="130">
        <v>33000</v>
      </c>
      <c r="I97" s="71">
        <v>4.7619047619047672E-2</v>
      </c>
    </row>
    <row r="98" spans="1:9" x14ac:dyDescent="0.3">
      <c r="A98" s="53" t="s">
        <v>129</v>
      </c>
      <c r="B98" s="53"/>
      <c r="C98" s="27">
        <v>224500</v>
      </c>
      <c r="D98" s="27">
        <v>403000</v>
      </c>
      <c r="E98" s="58">
        <v>0.79510022271714931</v>
      </c>
      <c r="F98" s="27">
        <v>423150</v>
      </c>
      <c r="G98" s="69">
        <v>5.0000000000000044E-2</v>
      </c>
      <c r="H98" s="27">
        <v>443300</v>
      </c>
      <c r="I98" s="58">
        <v>4.7619047619047672E-2</v>
      </c>
    </row>
    <row r="99" spans="1:9" x14ac:dyDescent="0.3">
      <c r="A99" s="60"/>
      <c r="B99" s="60" t="s">
        <v>130</v>
      </c>
      <c r="C99" s="81">
        <v>66500</v>
      </c>
      <c r="D99" s="81">
        <v>100000</v>
      </c>
      <c r="E99" s="65">
        <v>0.50375939849624052</v>
      </c>
      <c r="F99" s="81">
        <v>105000</v>
      </c>
      <c r="G99" s="71">
        <v>5.0000000000000044E-2</v>
      </c>
      <c r="H99" s="81">
        <v>110000</v>
      </c>
      <c r="I99" s="71">
        <v>4.7619047619047672E-2</v>
      </c>
    </row>
    <row r="100" spans="1:9" x14ac:dyDescent="0.3">
      <c r="A100" s="60"/>
      <c r="B100" s="60" t="s">
        <v>131</v>
      </c>
      <c r="C100" s="81">
        <v>13300</v>
      </c>
      <c r="D100" s="81">
        <v>27000</v>
      </c>
      <c r="E100" s="65">
        <v>1.030075187969925</v>
      </c>
      <c r="F100" s="81">
        <v>28350</v>
      </c>
      <c r="G100" s="71">
        <v>5.0000000000000044E-2</v>
      </c>
      <c r="H100" s="81">
        <v>29700</v>
      </c>
      <c r="I100" s="71">
        <v>4.7619047619047672E-2</v>
      </c>
    </row>
    <row r="101" spans="1:9" x14ac:dyDescent="0.3">
      <c r="A101" s="60"/>
      <c r="B101" s="60" t="s">
        <v>132</v>
      </c>
      <c r="C101" s="81">
        <v>4000</v>
      </c>
      <c r="D101" s="81">
        <v>5000</v>
      </c>
      <c r="E101" s="65">
        <v>0.25</v>
      </c>
      <c r="F101" s="81">
        <v>5250</v>
      </c>
      <c r="G101" s="71">
        <v>5.0000000000000044E-2</v>
      </c>
      <c r="H101" s="81">
        <v>5500</v>
      </c>
      <c r="I101" s="71">
        <v>4.7619047619047672E-2</v>
      </c>
    </row>
    <row r="102" spans="1:9" x14ac:dyDescent="0.3">
      <c r="A102" s="60"/>
      <c r="B102" s="60" t="s">
        <v>133</v>
      </c>
      <c r="C102" s="81">
        <v>15000</v>
      </c>
      <c r="D102" s="81">
        <v>100000</v>
      </c>
      <c r="E102" s="65">
        <v>5.666666666666667</v>
      </c>
      <c r="F102" s="81">
        <v>105000</v>
      </c>
      <c r="G102" s="71">
        <v>5.0000000000000044E-2</v>
      </c>
      <c r="H102" s="81">
        <v>110000</v>
      </c>
      <c r="I102" s="71">
        <v>4.7619047619047672E-2</v>
      </c>
    </row>
    <row r="103" spans="1:9" x14ac:dyDescent="0.3">
      <c r="A103" s="60"/>
      <c r="B103" s="60" t="s">
        <v>134</v>
      </c>
      <c r="C103" s="81">
        <v>100000</v>
      </c>
      <c r="D103" s="81">
        <v>170000</v>
      </c>
      <c r="E103" s="65">
        <v>0.7</v>
      </c>
      <c r="F103" s="81">
        <v>178500</v>
      </c>
      <c r="G103" s="71">
        <v>5.0000000000000044E-2</v>
      </c>
      <c r="H103" s="81">
        <v>187000</v>
      </c>
      <c r="I103" s="71">
        <v>4.7619047619047672E-2</v>
      </c>
    </row>
    <row r="104" spans="1:9" x14ac:dyDescent="0.3">
      <c r="A104" s="60"/>
      <c r="B104" s="60" t="s">
        <v>135</v>
      </c>
      <c r="C104" s="81">
        <v>25000</v>
      </c>
      <c r="D104" s="81">
        <v>0</v>
      </c>
      <c r="E104" s="65">
        <v>-1</v>
      </c>
      <c r="F104" s="81">
        <v>0</v>
      </c>
      <c r="G104" s="71"/>
      <c r="H104" s="81">
        <v>0</v>
      </c>
      <c r="I104" s="71"/>
    </row>
    <row r="105" spans="1:9" x14ac:dyDescent="0.3">
      <c r="A105" s="60"/>
      <c r="B105" s="60" t="s">
        <v>136</v>
      </c>
      <c r="C105" s="81">
        <v>700</v>
      </c>
      <c r="D105" s="81">
        <v>1000</v>
      </c>
      <c r="E105" s="65">
        <v>0.4285714285714286</v>
      </c>
      <c r="F105" s="81">
        <v>1050</v>
      </c>
      <c r="G105" s="71">
        <v>5.0000000000000044E-2</v>
      </c>
      <c r="H105" s="81">
        <v>1100</v>
      </c>
      <c r="I105" s="71">
        <v>4.7619047619047672E-2</v>
      </c>
    </row>
    <row r="106" spans="1:9" x14ac:dyDescent="0.3">
      <c r="A106" s="53" t="s">
        <v>138</v>
      </c>
      <c r="B106" s="53"/>
      <c r="C106" s="27">
        <v>69500</v>
      </c>
      <c r="D106" s="27">
        <v>87500</v>
      </c>
      <c r="E106" s="58">
        <v>0.25899280575539563</v>
      </c>
      <c r="F106" s="27">
        <v>91875</v>
      </c>
      <c r="G106" s="69">
        <v>5.0000000000000044E-2</v>
      </c>
      <c r="H106" s="27">
        <v>96250</v>
      </c>
      <c r="I106" s="58">
        <v>4.7619047619047672E-2</v>
      </c>
    </row>
    <row r="107" spans="1:9" x14ac:dyDescent="0.3">
      <c r="A107" s="60"/>
      <c r="B107" s="79" t="s">
        <v>139</v>
      </c>
      <c r="C107" s="81">
        <v>5000</v>
      </c>
      <c r="D107" s="81">
        <v>5000</v>
      </c>
      <c r="E107" s="65">
        <v>0</v>
      </c>
      <c r="F107" s="81">
        <v>5250</v>
      </c>
      <c r="G107" s="71">
        <v>5.0000000000000044E-2</v>
      </c>
      <c r="H107" s="81">
        <v>5500</v>
      </c>
      <c r="I107" s="71">
        <v>4.7619047619047672E-2</v>
      </c>
    </row>
    <row r="108" spans="1:9" x14ac:dyDescent="0.3">
      <c r="A108" s="60"/>
      <c r="B108" s="79" t="s">
        <v>140</v>
      </c>
      <c r="C108" s="81">
        <v>700</v>
      </c>
      <c r="D108" s="81">
        <v>1000</v>
      </c>
      <c r="E108" s="65">
        <v>0.4285714285714286</v>
      </c>
      <c r="F108" s="81">
        <v>1050</v>
      </c>
      <c r="G108" s="71">
        <v>5.0000000000000044E-2</v>
      </c>
      <c r="H108" s="81">
        <v>1100</v>
      </c>
      <c r="I108" s="71">
        <v>4.7619047619047672E-2</v>
      </c>
    </row>
    <row r="109" spans="1:9" x14ac:dyDescent="0.3">
      <c r="A109" s="60"/>
      <c r="B109" s="60" t="s">
        <v>141</v>
      </c>
      <c r="C109" s="81">
        <v>13300</v>
      </c>
      <c r="D109" s="81">
        <v>15000</v>
      </c>
      <c r="E109" s="65">
        <v>0.1278195488721805</v>
      </c>
      <c r="F109" s="81">
        <v>15750</v>
      </c>
      <c r="G109" s="71">
        <v>5.0000000000000044E-2</v>
      </c>
      <c r="H109" s="81">
        <v>16500</v>
      </c>
      <c r="I109" s="71">
        <v>4.7619047619047672E-2</v>
      </c>
    </row>
    <row r="110" spans="1:9" x14ac:dyDescent="0.3">
      <c r="A110" s="60"/>
      <c r="B110" s="79" t="s">
        <v>142</v>
      </c>
      <c r="C110" s="81">
        <v>26500</v>
      </c>
      <c r="D110" s="81">
        <v>26500</v>
      </c>
      <c r="E110" s="65">
        <v>0</v>
      </c>
      <c r="F110" s="81">
        <v>27825</v>
      </c>
      <c r="G110" s="71">
        <v>5.0000000000000044E-2</v>
      </c>
      <c r="H110" s="81">
        <v>29150</v>
      </c>
      <c r="I110" s="71">
        <v>4.7619047619047672E-2</v>
      </c>
    </row>
    <row r="111" spans="1:9" x14ac:dyDescent="0.3">
      <c r="A111" s="60"/>
      <c r="B111" s="79" t="s">
        <v>143</v>
      </c>
      <c r="C111" s="81">
        <v>20000</v>
      </c>
      <c r="D111" s="81">
        <v>20000</v>
      </c>
      <c r="E111" s="65">
        <v>0</v>
      </c>
      <c r="F111" s="81">
        <v>21000</v>
      </c>
      <c r="G111" s="71">
        <v>5.0000000000000044E-2</v>
      </c>
      <c r="H111" s="81">
        <v>22000</v>
      </c>
      <c r="I111" s="71">
        <v>4.7619047619047672E-2</v>
      </c>
    </row>
    <row r="112" spans="1:9" x14ac:dyDescent="0.3">
      <c r="A112" s="60"/>
      <c r="B112" s="79" t="s">
        <v>144</v>
      </c>
      <c r="C112" s="81">
        <v>4000</v>
      </c>
      <c r="D112" s="81">
        <v>20000</v>
      </c>
      <c r="E112" s="65">
        <v>4</v>
      </c>
      <c r="F112" s="81">
        <v>21000</v>
      </c>
      <c r="G112" s="71">
        <v>5.0000000000000044E-2</v>
      </c>
      <c r="H112" s="81">
        <v>22000</v>
      </c>
      <c r="I112" s="71">
        <v>4.7619047619047672E-2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Posebni dio</vt:lpstr>
      <vt:lpstr>Ekonomska klasifikacija i izvor</vt:lpstr>
      <vt:lpstr>Račun financiranja</vt:lpstr>
      <vt:lpstr>Funkcijska klasifikacija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Romac</dc:creator>
  <cp:lastModifiedBy>Mobes Kvaliteta</cp:lastModifiedBy>
  <dcterms:created xsi:type="dcterms:W3CDTF">2024-11-12T20:18:44Z</dcterms:created>
  <dcterms:modified xsi:type="dcterms:W3CDTF">2024-11-21T07:02:45Z</dcterms:modified>
</cp:coreProperties>
</file>